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2.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codeName="ThisWorkbook"/>
  <mc:AlternateContent xmlns:mc="http://schemas.openxmlformats.org/markup-compatibility/2006">
    <mc:Choice Requires="x15">
      <x15ac:absPath xmlns:x15ac="http://schemas.microsoft.com/office/spreadsheetml/2010/11/ac" url="https://icedd.sharepoint.com/sites/PFAC-BI/Documents partages/Bibliothèque/08 - BD COGEN/Commun RW et RBC/Outils/COGENcalc/"/>
    </mc:Choice>
  </mc:AlternateContent>
  <xr:revisionPtr revIDLastSave="13" documentId="11_39CDEB87E32F1165F94D4B07BBB4AB9B0526A91E" xr6:coauthVersionLast="45" xr6:coauthVersionMax="45" xr10:uidLastSave="{73268147-DB9C-403B-8B37-FF43448FFA96}"/>
  <bookViews>
    <workbookView xWindow="-108" yWindow="-108" windowWidth="23256" windowHeight="12576" tabRatio="791" xr2:uid="{00000000-000D-0000-FFFF-FFFF00000000}"/>
  </bookViews>
  <sheets>
    <sheet name="Français" sheetId="21691" r:id="rId1"/>
    <sheet name="kéco - Wallonie" sheetId="21692" state="hidden" r:id="rId2"/>
    <sheet name="Parametres" sheetId="28" r:id="rId3"/>
  </sheets>
  <externalReferences>
    <externalReference r:id="rId4"/>
  </externalReferences>
  <definedNames>
    <definedName name="biogaz">'kéco - Wallonie'!$C$9:$C$13</definedName>
    <definedName name="CET">'kéco - Wallonie'!$C$7</definedName>
    <definedName name="fossile">'kéco - Wallonie'!$C$19:$C$23</definedName>
    <definedName name="graisse">'kéco - Wallonie'!$C$18</definedName>
    <definedName name="_xlnm.Print_Titles" localSheetId="0">Français!$1:$13</definedName>
    <definedName name="liquide">'kéco - Wallonie'!$C$24:$C$28</definedName>
    <definedName name="Résultats">[1]Résultats!$A:$IV</definedName>
    <definedName name="solide">'kéco - Wallonie'!$C$14:$C$17</definedName>
    <definedName name="_xlnm.Print_Area" localSheetId="0">Français!$A$1:$J$220</definedName>
    <definedName name="_xlnm.Print_Area" localSheetId="2">Parametres!$B$29:$C$35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31" i="21691" l="1"/>
  <c r="F25" i="21691"/>
  <c r="AH1" i="28"/>
  <c r="AH2" i="28"/>
  <c r="AI2" i="28"/>
  <c r="AJ2" i="28"/>
  <c r="AK2" i="28"/>
  <c r="AL2" i="28"/>
  <c r="AM2" i="28"/>
  <c r="AN2" i="28"/>
  <c r="AO2" i="28"/>
  <c r="AP2" i="28"/>
  <c r="AQ2" i="28"/>
  <c r="AR2" i="28"/>
  <c r="AS2" i="28"/>
  <c r="AT2" i="28"/>
  <c r="AU2" i="28"/>
  <c r="AV2" i="28"/>
  <c r="AW2" i="28"/>
  <c r="AX2" i="28"/>
  <c r="AY2" i="28"/>
  <c r="AZ2" i="28"/>
  <c r="BA2" i="28"/>
  <c r="BB2" i="28"/>
  <c r="BC2" i="28"/>
  <c r="BD2" i="28"/>
  <c r="BE2" i="28"/>
  <c r="AH3" i="28"/>
  <c r="AI3" i="28"/>
  <c r="AJ3" i="28"/>
  <c r="AK3" i="28"/>
  <c r="AL3" i="28"/>
  <c r="AM3" i="28"/>
  <c r="AN3" i="28"/>
  <c r="AH4" i="28"/>
  <c r="AI4" i="28"/>
  <c r="AJ4" i="28"/>
  <c r="AK4" i="28"/>
  <c r="AL4" i="28"/>
  <c r="AM4" i="28"/>
  <c r="AN4" i="28"/>
  <c r="AO4" i="28"/>
  <c r="AP4" i="28"/>
  <c r="AQ4" i="28"/>
  <c r="AR4" i="28"/>
  <c r="AS4" i="28"/>
  <c r="B24" i="28"/>
  <c r="B25" i="28"/>
  <c r="A29" i="28"/>
  <c r="B29" i="28"/>
  <c r="D29" i="28"/>
  <c r="E29" i="28"/>
  <c r="F29" i="28"/>
  <c r="G29" i="28"/>
  <c r="I29" i="28"/>
  <c r="J29" i="28"/>
  <c r="K29" i="28"/>
  <c r="L29" i="28"/>
  <c r="M29" i="28"/>
  <c r="N29" i="28"/>
  <c r="O29" i="28"/>
  <c r="P29" i="28"/>
  <c r="Q29" i="28"/>
  <c r="R29" i="28"/>
  <c r="C30" i="28"/>
  <c r="C29" i="28" s="1"/>
  <c r="E121" i="21691" s="1"/>
  <c r="H30" i="28"/>
  <c r="H29" i="28" s="1"/>
  <c r="U30" i="28"/>
  <c r="V30" i="28"/>
  <c r="W30" i="28"/>
  <c r="Y30" i="28" s="1"/>
  <c r="X30" i="28"/>
  <c r="H31" i="28"/>
  <c r="U31" i="28"/>
  <c r="V31" i="28"/>
  <c r="W31" i="28"/>
  <c r="X31" i="28"/>
  <c r="Y31" i="28"/>
  <c r="C32" i="28"/>
  <c r="H32" i="28"/>
  <c r="U32" i="28"/>
  <c r="V32" i="28"/>
  <c r="W32" i="28"/>
  <c r="Z32" i="28" s="1"/>
  <c r="X32" i="28"/>
  <c r="F33" i="28"/>
  <c r="H33" i="28" s="1"/>
  <c r="G33" i="28"/>
  <c r="I33" i="28"/>
  <c r="J33" i="28"/>
  <c r="M33" i="28"/>
  <c r="N33" i="28"/>
  <c r="Q33" i="28"/>
  <c r="R33" i="28"/>
  <c r="X33" i="28" s="1"/>
  <c r="H34" i="28"/>
  <c r="U34" i="28"/>
  <c r="V34" i="28"/>
  <c r="W34" i="28"/>
  <c r="Z34" i="28" s="1"/>
  <c r="X34" i="28"/>
  <c r="H35" i="28"/>
  <c r="U35" i="28"/>
  <c r="V35" i="28"/>
  <c r="W35" i="28"/>
  <c r="X35" i="28"/>
  <c r="Z35" i="28" s="1"/>
  <c r="D43" i="28"/>
  <c r="E43" i="28"/>
  <c r="F43" i="28"/>
  <c r="G43" i="28"/>
  <c r="H43" i="28"/>
  <c r="D44" i="28"/>
  <c r="E44" i="28"/>
  <c r="F44" i="28"/>
  <c r="G44" i="28"/>
  <c r="H44" i="28"/>
  <c r="D45" i="28"/>
  <c r="E45" i="28"/>
  <c r="F45" i="28"/>
  <c r="G45" i="28"/>
  <c r="H45" i="28"/>
  <c r="D46" i="28"/>
  <c r="E46" i="28"/>
  <c r="F46" i="28"/>
  <c r="G46" i="28"/>
  <c r="H46" i="28"/>
  <c r="F47" i="28"/>
  <c r="G47" i="28"/>
  <c r="H47" i="28"/>
  <c r="I47" i="28"/>
  <c r="D47" i="28" s="1"/>
  <c r="J47" i="28"/>
  <c r="E47" i="28" s="1"/>
  <c r="K47" i="28"/>
  <c r="L47" i="28"/>
  <c r="AY47" i="28"/>
  <c r="AZ47" i="28"/>
  <c r="BA47" i="28"/>
  <c r="BB47" i="28"/>
  <c r="BC47" i="28"/>
  <c r="BD47" i="28"/>
  <c r="BE47" i="28"/>
  <c r="BF47" i="28"/>
  <c r="BG47" i="28"/>
  <c r="BH47" i="28"/>
  <c r="BI47" i="28"/>
  <c r="BJ47" i="28"/>
  <c r="D48" i="28"/>
  <c r="E48" i="28"/>
  <c r="F48" i="28"/>
  <c r="G48" i="28"/>
  <c r="H48" i="28"/>
  <c r="AY48" i="28"/>
  <c r="AY50" i="28" s="1"/>
  <c r="AZ48" i="28"/>
  <c r="BA48" i="28"/>
  <c r="BB48" i="28"/>
  <c r="BC48" i="28"/>
  <c r="BD48" i="28"/>
  <c r="BE48" i="28"/>
  <c r="BF48" i="28"/>
  <c r="BF50" i="28" s="1"/>
  <c r="BG48" i="28"/>
  <c r="BG50" i="28" s="1"/>
  <c r="BH48" i="28"/>
  <c r="BI48" i="28"/>
  <c r="BJ48" i="28"/>
  <c r="D49" i="28"/>
  <c r="F49" i="28"/>
  <c r="H49" i="28"/>
  <c r="I49" i="28"/>
  <c r="J49" i="28"/>
  <c r="E49" i="28" s="1"/>
  <c r="K49" i="28"/>
  <c r="L49" i="28"/>
  <c r="G49" i="28" s="1"/>
  <c r="D50" i="28"/>
  <c r="E50" i="28"/>
  <c r="F50" i="28"/>
  <c r="G50" i="28"/>
  <c r="H50" i="28"/>
  <c r="D51" i="28"/>
  <c r="E51" i="28"/>
  <c r="F51" i="28"/>
  <c r="G51" i="28"/>
  <c r="H51" i="28"/>
  <c r="D52" i="28"/>
  <c r="E52" i="28"/>
  <c r="F52" i="28"/>
  <c r="G52" i="28"/>
  <c r="H52" i="28"/>
  <c r="D53" i="28"/>
  <c r="E53" i="28"/>
  <c r="F53" i="28"/>
  <c r="G53" i="28"/>
  <c r="H53" i="28"/>
  <c r="D54" i="28"/>
  <c r="E54" i="28"/>
  <c r="F54" i="28"/>
  <c r="G54" i="28"/>
  <c r="H54" i="28"/>
  <c r="D55" i="28"/>
  <c r="E55" i="28"/>
  <c r="F55" i="28"/>
  <c r="G55" i="28"/>
  <c r="H55" i="28"/>
  <c r="D56" i="28"/>
  <c r="E56" i="28"/>
  <c r="F56" i="28"/>
  <c r="G56" i="28"/>
  <c r="H56" i="28"/>
  <c r="D57" i="28"/>
  <c r="E57" i="28"/>
  <c r="F57" i="28"/>
  <c r="G57" i="28"/>
  <c r="H57" i="28"/>
  <c r="D58" i="28"/>
  <c r="H58" i="28"/>
  <c r="N58" i="28"/>
  <c r="O58" i="28"/>
  <c r="E58" i="28" s="1"/>
  <c r="P58" i="28"/>
  <c r="F58" i="28" s="1"/>
  <c r="Q58" i="28"/>
  <c r="G58" i="28" s="1"/>
  <c r="H59" i="28"/>
  <c r="N59" i="28"/>
  <c r="D59" i="28" s="1"/>
  <c r="O59" i="28"/>
  <c r="E59" i="28" s="1"/>
  <c r="P59" i="28"/>
  <c r="F59" i="28" s="1"/>
  <c r="Q59" i="28"/>
  <c r="G59" i="28" s="1"/>
  <c r="K63" i="28"/>
  <c r="N63" i="28"/>
  <c r="K64" i="28"/>
  <c r="N64" i="28"/>
  <c r="N68" i="28" s="1"/>
  <c r="I18" i="21691"/>
  <c r="I20" i="21691"/>
  <c r="D22" i="21691"/>
  <c r="F23" i="21691"/>
  <c r="F24" i="21691"/>
  <c r="F26" i="21691"/>
  <c r="E38" i="21691"/>
  <c r="BB41" i="28" s="1"/>
  <c r="E48" i="21691"/>
  <c r="E50" i="21691"/>
  <c r="T176" i="21691" s="1"/>
  <c r="F187" i="21691" s="1"/>
  <c r="E52" i="21691"/>
  <c r="E91" i="21691"/>
  <c r="E106" i="21691"/>
  <c r="E110" i="21691" s="1"/>
  <c r="E144" i="21691" s="1"/>
  <c r="G118" i="21691"/>
  <c r="C126" i="21691"/>
  <c r="F129" i="21691"/>
  <c r="F131" i="21691"/>
  <c r="G169" i="21691"/>
  <c r="G171" i="21691"/>
  <c r="AF178" i="21691"/>
  <c r="AF179" i="21691"/>
  <c r="AF181" i="21691"/>
  <c r="AF182" i="21691"/>
  <c r="O186" i="21691"/>
  <c r="D198" i="21691"/>
  <c r="D200" i="21691"/>
  <c r="D201" i="21691"/>
  <c r="D202" i="21691"/>
  <c r="D203" i="21691"/>
  <c r="C213" i="21691"/>
  <c r="I213" i="21691"/>
  <c r="E213" i="21691" s="1"/>
  <c r="BH50" i="28" l="1"/>
  <c r="BD50" i="28"/>
  <c r="AZ50" i="28"/>
  <c r="D206" i="21691"/>
  <c r="BC50" i="28"/>
  <c r="W33" i="28"/>
  <c r="Y33" i="28" s="1"/>
  <c r="Y32" i="28"/>
  <c r="F87" i="21691"/>
  <c r="F89" i="21691" s="1"/>
  <c r="BI50" i="28"/>
  <c r="BE50" i="28"/>
  <c r="BA50" i="28"/>
  <c r="Z31" i="28"/>
  <c r="F28" i="21691"/>
  <c r="Y35" i="28"/>
  <c r="N70" i="28"/>
  <c r="K71" i="28"/>
  <c r="BJ50" i="28"/>
  <c r="BB50" i="28"/>
  <c r="N66" i="28"/>
  <c r="N67" i="28"/>
  <c r="U33" i="28"/>
  <c r="Z30" i="28"/>
  <c r="BF42" i="28"/>
  <c r="BD41" i="28"/>
  <c r="BA41" i="28"/>
  <c r="AY41" i="28"/>
  <c r="BI41" i="28"/>
  <c r="BG41" i="28"/>
  <c r="BC41" i="28"/>
  <c r="F108" i="21691"/>
  <c r="BI42" i="28"/>
  <c r="BC42" i="28"/>
  <c r="AY42" i="28"/>
  <c r="AZ42" i="28"/>
  <c r="BD42" i="28"/>
  <c r="K69" i="28"/>
  <c r="Y34" i="28"/>
  <c r="K67" i="28"/>
  <c r="BJ41" i="28"/>
  <c r="BE42" i="28"/>
  <c r="BH42" i="28"/>
  <c r="E57" i="21691"/>
  <c r="BF41" i="28"/>
  <c r="BH41" i="28"/>
  <c r="K70" i="28"/>
  <c r="K68" i="28"/>
  <c r="K66" i="28"/>
  <c r="BG42" i="28"/>
  <c r="BE41" i="28"/>
  <c r="BA42" i="28"/>
  <c r="AZ41" i="28"/>
  <c r="BJ42" i="28"/>
  <c r="BB42" i="28"/>
  <c r="BB44" i="28" s="1"/>
  <c r="N69" i="28"/>
  <c r="Z33" i="28"/>
  <c r="V33" i="28"/>
  <c r="BF44" i="28" l="1"/>
  <c r="BG44" i="28"/>
  <c r="BA44" i="28"/>
  <c r="BD44" i="28"/>
  <c r="AY44" i="28"/>
  <c r="BI44" i="28"/>
  <c r="BH44" i="28"/>
  <c r="AZ44" i="28"/>
  <c r="BC44" i="28"/>
  <c r="BE44" i="28"/>
  <c r="BJ44" i="28"/>
  <c r="E72" i="21691"/>
  <c r="D204" i="21691"/>
  <c r="E61" i="21691"/>
  <c r="C82" i="28"/>
  <c r="G57" i="21691"/>
  <c r="C83" i="28"/>
  <c r="E45" i="21691" s="1"/>
  <c r="D213" i="21691" s="1"/>
  <c r="E129" i="21691" l="1"/>
  <c r="D205" i="21691"/>
  <c r="E163" i="21691"/>
  <c r="E167" i="21691" s="1"/>
  <c r="E171" i="21691" s="1"/>
  <c r="E74" i="21691"/>
  <c r="E76" i="21691" s="1"/>
  <c r="G128" i="21691"/>
  <c r="E151" i="21691"/>
  <c r="E78" i="21691"/>
  <c r="F128" i="21691"/>
  <c r="D207" i="21691"/>
  <c r="E112" i="21691"/>
  <c r="E114" i="21691" s="1"/>
  <c r="E142" i="21691" l="1"/>
  <c r="E146" i="21691" s="1"/>
  <c r="Z181" i="21691" s="1"/>
  <c r="E175" i="21691"/>
  <c r="E155" i="21691"/>
  <c r="E153" i="21691"/>
  <c r="AC179" i="21691"/>
  <c r="W179" i="21691"/>
  <c r="AB179" i="21691"/>
  <c r="U179" i="21691"/>
  <c r="X179" i="21691"/>
  <c r="V179" i="21691"/>
  <c r="Z179" i="21691"/>
  <c r="Y179" i="21691"/>
  <c r="AA179" i="21691"/>
  <c r="T179" i="21691"/>
  <c r="F93" i="21691"/>
  <c r="E95" i="21691" s="1"/>
  <c r="D208" i="21691"/>
  <c r="E127" i="21691"/>
  <c r="X181" i="21691"/>
  <c r="F127" i="21691"/>
  <c r="F126" i="21691"/>
  <c r="E126" i="21691"/>
  <c r="G126" i="21691"/>
  <c r="G127" i="21691"/>
  <c r="T181" i="21691" l="1"/>
  <c r="V181" i="21691"/>
  <c r="W181" i="21691"/>
  <c r="AA181" i="21691"/>
  <c r="AB181" i="21691"/>
  <c r="U181" i="21691"/>
  <c r="AC181" i="21691"/>
  <c r="Y181" i="21691"/>
  <c r="E125" i="21691"/>
  <c r="E123" i="21691"/>
  <c r="D211" i="21691" s="1"/>
  <c r="D215" i="21691"/>
  <c r="S183" i="21691"/>
  <c r="AA182" i="21691"/>
  <c r="X182" i="21691"/>
  <c r="T182" i="21691"/>
  <c r="AB182" i="21691"/>
  <c r="AC182" i="21691"/>
  <c r="Z182" i="21691"/>
  <c r="W182" i="21691"/>
  <c r="Y182" i="21691"/>
  <c r="V182" i="21691"/>
  <c r="U182" i="21691"/>
  <c r="E97" i="21691"/>
  <c r="E101" i="21691" s="1"/>
  <c r="E133" i="21691" l="1"/>
  <c r="D212" i="21691" s="1"/>
  <c r="AC178" i="21691"/>
  <c r="T178" i="21691"/>
  <c r="AB178" i="21691"/>
  <c r="V178" i="21691"/>
  <c r="Y178" i="21691"/>
  <c r="AA178" i="21691"/>
  <c r="Z178" i="21691"/>
  <c r="X178" i="21691"/>
  <c r="W178" i="21691"/>
  <c r="U178" i="21691"/>
  <c r="S184" i="21691"/>
  <c r="E137" i="21691" l="1"/>
  <c r="U180" i="21691" s="1"/>
  <c r="U183" i="21691" s="1"/>
  <c r="AB180" i="21691"/>
  <c r="AB183" i="21691" s="1"/>
  <c r="W180" i="21691" l="1"/>
  <c r="W183" i="21691" s="1"/>
  <c r="AC180" i="21691"/>
  <c r="AC183" i="21691" s="1"/>
  <c r="T180" i="21691"/>
  <c r="T183" i="21691" s="1"/>
  <c r="AA184" i="21691" s="1"/>
  <c r="D210" i="21691"/>
  <c r="Z180" i="21691"/>
  <c r="Z183" i="21691" s="1"/>
  <c r="V180" i="21691"/>
  <c r="V183" i="21691" s="1"/>
  <c r="AB184" i="21691" s="1"/>
  <c r="AA180" i="21691"/>
  <c r="AA183" i="21691" s="1"/>
  <c r="X180" i="21691"/>
  <c r="X183" i="21691" s="1"/>
  <c r="E181" i="21691"/>
  <c r="Y180" i="21691"/>
  <c r="Y183" i="21691" s="1"/>
  <c r="E185" i="21691"/>
  <c r="D217" i="21691" s="1"/>
  <c r="V184" i="21691" l="1"/>
  <c r="W184" i="21691"/>
  <c r="X185" i="21691" s="1"/>
  <c r="X184" i="21691"/>
  <c r="T184" i="21691"/>
  <c r="U184" i="21691"/>
  <c r="U185" i="21691" s="1"/>
  <c r="Y184" i="21691"/>
  <c r="E187" i="21691"/>
  <c r="AC184" i="21691"/>
  <c r="AC185" i="21691" s="1"/>
  <c r="Z184" i="21691"/>
  <c r="Z185" i="21691" s="1"/>
  <c r="D209" i="21691"/>
  <c r="E183" i="21691"/>
  <c r="AB185" i="21691"/>
  <c r="T185" i="21691"/>
  <c r="Y185" i="21691" l="1"/>
  <c r="W185" i="21691"/>
  <c r="V185" i="21691"/>
  <c r="AA185" i="21691"/>
  <c r="D216" i="21691"/>
  <c r="C194" i="21691"/>
  <c r="C193" i="21691"/>
  <c r="E189" i="21691" l="1"/>
  <c r="D218" i="2169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Ismaël DAOUD</author>
    <author>YL</author>
    <author>Dimitri Eggermont</author>
  </authors>
  <commentList>
    <comment ref="E28" authorId="0" shapeId="0" xr:uid="{00000000-0006-0000-0000-000001000000}">
      <text>
        <r>
          <rPr>
            <b/>
            <sz val="8"/>
            <color indexed="81"/>
            <rFont val="Tahoma"/>
            <family val="2"/>
          </rPr>
          <t xml:space="preserve">GAZ NATUREL
</t>
        </r>
        <r>
          <rPr>
            <sz val="8"/>
            <color indexed="81"/>
            <rFont val="Tahoma"/>
            <family val="2"/>
          </rPr>
          <t xml:space="preserve">Il faut convertir les kWh Pouvoir Calorifique Supérieur (PCS) mentionnés sur les factures de gaz en kWh Pouvoir Calorifique Inférieur (PCI) : 
</t>
        </r>
        <r>
          <rPr>
            <b/>
            <sz val="8"/>
            <color indexed="81"/>
            <rFont val="Tahoma"/>
            <family val="2"/>
          </rPr>
          <t xml:space="preserve">1 kWh PCS ≈ 0.9 kWh PCI
MAZOUT
</t>
        </r>
        <r>
          <rPr>
            <sz val="8"/>
            <color indexed="81"/>
            <rFont val="Tahoma"/>
            <family val="2"/>
          </rPr>
          <t xml:space="preserve">Il faut convertir les litres consommés en kWh PCI : </t>
        </r>
        <r>
          <rPr>
            <b/>
            <sz val="8"/>
            <color indexed="81"/>
            <rFont val="Tahoma"/>
            <family val="2"/>
          </rPr>
          <t xml:space="preserve">
1 litre ≈ 10 kWh PCI</t>
        </r>
      </text>
    </comment>
    <comment ref="E30" authorId="0" shapeId="0" xr:uid="{00000000-0006-0000-0000-000002000000}">
      <text>
        <r>
          <rPr>
            <sz val="8"/>
            <color indexed="81"/>
            <rFont val="Tahoma"/>
            <family val="2"/>
          </rPr>
          <t>Par exemple, la consommation de gaz naturel pour la cuisson ou pour une chaudière à vapeur (humidification de l'air, application ponctuelle…)</t>
        </r>
      </text>
    </comment>
    <comment ref="E32" authorId="0" shapeId="0" xr:uid="{00000000-0006-0000-0000-000003000000}">
      <text>
        <r>
          <rPr>
            <sz val="8"/>
            <color indexed="81"/>
            <rFont val="Tahoma"/>
            <family val="2"/>
          </rPr>
          <t xml:space="preserve">Sur base d'un audit énergétique.
Mettre </t>
        </r>
        <r>
          <rPr>
            <b/>
            <sz val="8"/>
            <color indexed="81"/>
            <rFont val="Tahoma"/>
            <family val="2"/>
          </rPr>
          <t>10%</t>
        </r>
        <r>
          <rPr>
            <sz val="8"/>
            <color indexed="81"/>
            <rFont val="Tahoma"/>
            <family val="2"/>
          </rPr>
          <t xml:space="preserve"> par défaut dans la cas d'une rénovation (facteur de sécurité)</t>
        </r>
      </text>
    </comment>
    <comment ref="E36" authorId="0" shapeId="0" xr:uid="{00000000-0006-0000-0000-000004000000}">
      <text>
        <r>
          <rPr>
            <sz val="8"/>
            <color indexed="81"/>
            <rFont val="Tahoma"/>
            <family val="2"/>
          </rPr>
          <t>100% pour une chaudière à condensation, à condition qu'elle condense effectivement !
85 à 95% pour une chaudière &lt; 15 ans
75 à 85% pour une ancienne chaudière</t>
        </r>
      </text>
    </comment>
    <comment ref="E59" authorId="1" shapeId="0" xr:uid="{00000000-0006-0000-0000-000005000000}">
      <text>
        <r>
          <rPr>
            <sz val="8"/>
            <color indexed="81"/>
            <rFont val="Tahoma"/>
            <family val="2"/>
          </rPr>
          <t>Réduire la puissance thermique de la cogénération, et donc la puissance électrique, peut-être utile pour éviter de revendre trop d'électricité au réseau</t>
        </r>
      </text>
    </comment>
    <comment ref="E87" authorId="0" shapeId="0" xr:uid="{00000000-0006-0000-0000-000006000000}">
      <text>
        <r>
          <rPr>
            <sz val="8"/>
            <color indexed="81"/>
            <rFont val="Tahoma"/>
            <family val="2"/>
          </rPr>
          <t>Mettre zéro si inconnu
Si Logement Collectif : Introduire la consommation électrique des communs</t>
        </r>
      </text>
    </comment>
    <comment ref="E89" authorId="0" shapeId="0" xr:uid="{00000000-0006-0000-0000-000007000000}">
      <text>
        <r>
          <rPr>
            <sz val="8"/>
            <color indexed="81"/>
            <rFont val="Tahoma"/>
            <family val="2"/>
          </rPr>
          <t>Mettre zéro si inconnu</t>
        </r>
        <r>
          <rPr>
            <sz val="8"/>
            <color indexed="81"/>
            <rFont val="Tahoma"/>
            <family val="2"/>
          </rPr>
          <t xml:space="preserve">
</t>
        </r>
      </text>
    </comment>
    <comment ref="E108" authorId="0" shapeId="0" xr:uid="{00000000-0006-0000-0000-000008000000}">
      <text>
        <r>
          <rPr>
            <sz val="8"/>
            <color indexed="81"/>
            <rFont val="Tahoma"/>
            <family val="2"/>
          </rPr>
          <t>Mettre zéro si inconnu</t>
        </r>
      </text>
    </comment>
    <comment ref="E129" authorId="2" shapeId="0" xr:uid="{00000000-0006-0000-0000-000009000000}">
      <text>
        <r>
          <rPr>
            <sz val="8"/>
            <color indexed="81"/>
            <rFont val="Tahoma"/>
            <family val="2"/>
          </rPr>
          <t xml:space="preserve">En Région de Bruxelles-Capitale, un coefficient multiplicateur du nombre de CV est appliqué s'il s'agit d'une cogénération au gaz fournissant plus de 75% de sa production thermique à du logement collectif et à condition d'être "bien dimensionnée" au sens de l'Arrêté CV. (plus d'info : </t>
        </r>
        <r>
          <rPr>
            <b/>
            <u/>
            <sz val="8"/>
            <color indexed="12"/>
            <rFont val="Tahoma"/>
            <family val="2"/>
          </rPr>
          <t>www.bruxellesenvironnement.be</t>
        </r>
        <r>
          <rPr>
            <sz val="8"/>
            <color indexed="81"/>
            <rFont val="Tahoma"/>
            <family val="2"/>
          </rPr>
          <t xml:space="preserve"> )
Ce coefficient multiplicateur est égal à :
               </t>
        </r>
        <r>
          <rPr>
            <b/>
            <sz val="8"/>
            <color indexed="81"/>
            <rFont val="Tahoma"/>
            <family val="2"/>
          </rPr>
          <t xml:space="preserve">2     </t>
        </r>
        <r>
          <rPr>
            <sz val="8"/>
            <color indexed="81"/>
            <rFont val="Tahoma"/>
            <family val="2"/>
          </rPr>
          <t>si</t>
        </r>
        <r>
          <rPr>
            <b/>
            <sz val="8"/>
            <color indexed="81"/>
            <rFont val="Tahoma"/>
            <family val="2"/>
          </rPr>
          <t xml:space="preserve"> P</t>
        </r>
        <r>
          <rPr>
            <b/>
            <vertAlign val="subscript"/>
            <sz val="8"/>
            <color indexed="81"/>
            <rFont val="Tahoma"/>
            <family val="2"/>
          </rPr>
          <t xml:space="preserve">élec </t>
        </r>
        <r>
          <rPr>
            <b/>
            <sz val="8"/>
            <color indexed="81"/>
            <rFont val="Tahoma"/>
            <family val="2"/>
          </rPr>
          <t xml:space="preserve">&lt;= 50 kWé
               1,5  </t>
        </r>
        <r>
          <rPr>
            <sz val="8"/>
            <color indexed="81"/>
            <rFont val="Tahoma"/>
            <family val="2"/>
          </rPr>
          <t>si</t>
        </r>
        <r>
          <rPr>
            <b/>
            <sz val="8"/>
            <color indexed="81"/>
            <rFont val="Tahoma"/>
            <family val="2"/>
          </rPr>
          <t xml:space="preserve"> P</t>
        </r>
        <r>
          <rPr>
            <b/>
            <vertAlign val="subscript"/>
            <sz val="8"/>
            <color indexed="81"/>
            <rFont val="Tahoma"/>
            <family val="2"/>
          </rPr>
          <t>élec</t>
        </r>
        <r>
          <rPr>
            <b/>
            <sz val="8"/>
            <color indexed="81"/>
            <rFont val="Tahoma"/>
            <family val="2"/>
          </rPr>
          <t xml:space="preserve"> &gt; 50 kWé</t>
        </r>
      </text>
    </comment>
    <comment ref="E144" authorId="0" shapeId="0" xr:uid="{00000000-0006-0000-0000-00000A000000}">
      <text>
        <r>
          <rPr>
            <sz val="8"/>
            <color indexed="81"/>
            <rFont val="Tahoma"/>
            <family val="2"/>
          </rPr>
          <t>Si le combustible utilisé pour la cogénération ne correspond pas à celui utilisé actuellement pour le chauffage,
--&gt; Remplacer la valeur par défaut par la valeur réelle si elle est connue</t>
        </r>
      </text>
    </comment>
    <comment ref="E165" authorId="1" shapeId="0" xr:uid="{00000000-0006-0000-0000-00000B000000}">
      <text>
        <r>
          <rPr>
            <sz val="8"/>
            <color indexed="81"/>
            <rFont val="Tahoma"/>
            <family val="2"/>
          </rPr>
          <t>Facteur de sur-investissement pour la prise en compte des frais d'installation, d'études, de connexion sur le réseau électrique, d'éventuels travaux de génie civil et d'imprévus.
Compter</t>
        </r>
        <r>
          <rPr>
            <b/>
            <sz val="8"/>
            <color indexed="81"/>
            <rFont val="Tahoma"/>
            <family val="2"/>
          </rPr>
          <t xml:space="preserve"> Minimum 60%</t>
        </r>
        <r>
          <rPr>
            <sz val="8"/>
            <color indexed="81"/>
            <rFont val="Tahoma"/>
            <family val="2"/>
          </rPr>
          <t>.</t>
        </r>
      </text>
    </comment>
    <comment ref="E169" authorId="0" shapeId="0" xr:uid="{00000000-0006-0000-0000-00000C000000}">
      <text>
        <r>
          <rPr>
            <sz val="9"/>
            <color indexed="81"/>
            <rFont val="Tahoma"/>
            <family val="2"/>
          </rPr>
          <t>Typiquement</t>
        </r>
        <r>
          <rPr>
            <b/>
            <sz val="9"/>
            <color indexed="81"/>
            <rFont val="Tahoma"/>
            <family val="2"/>
          </rPr>
          <t xml:space="preserve"> 20%</t>
        </r>
        <r>
          <rPr>
            <sz val="9"/>
            <color indexed="81"/>
            <rFont val="Tahoma"/>
            <family val="2"/>
          </rPr>
          <t xml:space="preserve"> en Wallonie, mais plafond à 15 000 €. Plus d'info : </t>
        </r>
        <r>
          <rPr>
            <b/>
            <u/>
            <sz val="9"/>
            <color indexed="12"/>
            <rFont val="Tahoma"/>
            <family val="2"/>
          </rPr>
          <t>http://energie.wallonie.be</t>
        </r>
        <r>
          <rPr>
            <b/>
            <sz val="9"/>
            <color indexed="81"/>
            <rFont val="Tahoma"/>
            <family val="2"/>
          </rPr>
          <t xml:space="preserve">
</t>
        </r>
        <r>
          <rPr>
            <sz val="9"/>
            <color indexed="81"/>
            <rFont val="Tahoma"/>
            <family val="2"/>
          </rPr>
          <t xml:space="preserve">Typiquement sous forme d'un montant et non d'un pourcentage en Région de Bruxelles-Capitale : </t>
        </r>
        <r>
          <rPr>
            <b/>
            <sz val="9"/>
            <color indexed="81"/>
            <rFont val="Tahoma"/>
            <family val="2"/>
          </rPr>
          <t xml:space="preserve"> 3500€*√ Puissance</t>
        </r>
        <r>
          <rPr>
            <b/>
            <vertAlign val="subscript"/>
            <sz val="9"/>
            <color indexed="81"/>
            <rFont val="Tahoma"/>
            <family val="2"/>
          </rPr>
          <t>électrique</t>
        </r>
        <r>
          <rPr>
            <b/>
            <sz val="9"/>
            <color indexed="81"/>
            <rFont val="Tahoma"/>
            <family val="2"/>
          </rPr>
          <t xml:space="preserve"> cogen </t>
        </r>
        <r>
          <rPr>
            <sz val="9"/>
            <color indexed="81"/>
            <rFont val="Tahoma"/>
            <family val="2"/>
          </rPr>
          <t xml:space="preserve">, mais plafond à </t>
        </r>
        <r>
          <rPr>
            <b/>
            <sz val="9"/>
            <color indexed="81"/>
            <rFont val="Tahoma"/>
            <family val="2"/>
          </rPr>
          <t>30%</t>
        </r>
        <r>
          <rPr>
            <sz val="9"/>
            <color indexed="81"/>
            <rFont val="Tahoma"/>
            <family val="2"/>
          </rPr>
          <t xml:space="preserve"> de l'investissement. Plus d'info : </t>
        </r>
        <r>
          <rPr>
            <b/>
            <u/>
            <sz val="9"/>
            <color indexed="12"/>
            <rFont val="Tahoma"/>
            <family val="2"/>
          </rPr>
          <t>www.bruxellesenvironnement.be</t>
        </r>
        <r>
          <rPr>
            <sz val="8"/>
            <color indexed="81"/>
            <rFont val="Tahoma"/>
            <family val="2"/>
          </rPr>
          <t xml:space="preserve">
</t>
        </r>
      </text>
    </comment>
    <comment ref="E171" authorId="0" shapeId="0" xr:uid="{00000000-0006-0000-0000-00000D000000}">
      <text>
        <r>
          <rPr>
            <sz val="9"/>
            <color indexed="81"/>
            <rFont val="Tahoma"/>
            <family val="2"/>
          </rPr>
          <t>Typiquement</t>
        </r>
        <r>
          <rPr>
            <b/>
            <sz val="9"/>
            <color indexed="81"/>
            <rFont val="Tahoma"/>
            <family val="2"/>
          </rPr>
          <t xml:space="preserve"> 20%</t>
        </r>
        <r>
          <rPr>
            <sz val="9"/>
            <color indexed="81"/>
            <rFont val="Tahoma"/>
            <family val="2"/>
          </rPr>
          <t xml:space="preserve"> en Wallonie, mais plafond à 15 000 €. Plus d'info : </t>
        </r>
        <r>
          <rPr>
            <b/>
            <u/>
            <sz val="9"/>
            <color indexed="12"/>
            <rFont val="Tahoma"/>
            <family val="2"/>
          </rPr>
          <t>http://energie.wallonie.be</t>
        </r>
        <r>
          <rPr>
            <b/>
            <sz val="9"/>
            <color indexed="81"/>
            <rFont val="Tahoma"/>
            <family val="2"/>
          </rPr>
          <t xml:space="preserve">
</t>
        </r>
        <r>
          <rPr>
            <sz val="9"/>
            <color indexed="81"/>
            <rFont val="Tahoma"/>
            <family val="2"/>
          </rPr>
          <t xml:space="preserve">Typiquement sous forme d'un montant et non d'un pourcentage en Région de Bruxelles-Capitale : </t>
        </r>
        <r>
          <rPr>
            <b/>
            <sz val="9"/>
            <color indexed="81"/>
            <rFont val="Tahoma"/>
            <family val="2"/>
          </rPr>
          <t xml:space="preserve"> 3500€*√ Puissance</t>
        </r>
        <r>
          <rPr>
            <b/>
            <vertAlign val="subscript"/>
            <sz val="9"/>
            <color indexed="81"/>
            <rFont val="Tahoma"/>
            <family val="2"/>
          </rPr>
          <t>électrique</t>
        </r>
        <r>
          <rPr>
            <b/>
            <sz val="9"/>
            <color indexed="81"/>
            <rFont val="Tahoma"/>
            <family val="2"/>
          </rPr>
          <t xml:space="preserve"> cogen </t>
        </r>
        <r>
          <rPr>
            <sz val="9"/>
            <color indexed="81"/>
            <rFont val="Tahoma"/>
            <family val="2"/>
          </rPr>
          <t xml:space="preserve">, mais plafond à </t>
        </r>
        <r>
          <rPr>
            <b/>
            <sz val="9"/>
            <color indexed="81"/>
            <rFont val="Tahoma"/>
            <family val="2"/>
          </rPr>
          <t>30%</t>
        </r>
        <r>
          <rPr>
            <sz val="9"/>
            <color indexed="81"/>
            <rFont val="Tahoma"/>
            <family val="2"/>
          </rPr>
          <t xml:space="preserve"> de l'investissement. Plus d'info : </t>
        </r>
        <r>
          <rPr>
            <b/>
            <u/>
            <sz val="9"/>
            <color indexed="12"/>
            <rFont val="Tahoma"/>
            <family val="2"/>
          </rPr>
          <t>www.bruxellesenvironnement.be</t>
        </r>
        <r>
          <rPr>
            <sz val="8"/>
            <color indexed="81"/>
            <rFont val="Tahoma"/>
            <family val="2"/>
          </rPr>
          <t xml:space="preserve">
</t>
        </r>
      </text>
    </comment>
    <comment ref="H187" authorId="0" shapeId="0" xr:uid="{00000000-0006-0000-0000-00000E000000}">
      <text>
        <r>
          <rPr>
            <sz val="8"/>
            <color indexed="81"/>
            <rFont val="Tahoma"/>
            <family val="2"/>
          </rPr>
          <t>Intervalle de 4,5 à 6,5 %  fixée par arrêté Ministériel dans la cadre de la PEB</t>
        </r>
      </text>
    </comment>
    <comment ref="C188" authorId="0" shapeId="0" xr:uid="{00000000-0006-0000-0000-00000F000000}">
      <text>
        <r>
          <rPr>
            <sz val="8"/>
            <color indexed="81"/>
            <rFont val="Tahoma"/>
            <family val="2"/>
          </rPr>
          <t>Tient compte de l'évolution future du gain annuel et de l'actualisation de ce gain</t>
        </r>
      </text>
    </comment>
  </commentList>
</comments>
</file>

<file path=xl/sharedStrings.xml><?xml version="1.0" encoding="utf-8"?>
<sst xmlns="http://schemas.openxmlformats.org/spreadsheetml/2006/main" count="615" uniqueCount="450">
  <si>
    <t xml:space="preserve">Type de technologie de l'unité de cogénération </t>
  </si>
  <si>
    <t xml:space="preserve">Puissance électrique de l'unité de cogénération </t>
  </si>
  <si>
    <t xml:space="preserve">Rendement électrique </t>
  </si>
  <si>
    <t>kWh PCI/an</t>
  </si>
  <si>
    <t>Profil de consommation</t>
  </si>
  <si>
    <t>Profil</t>
  </si>
  <si>
    <t>A</t>
  </si>
  <si>
    <t>B</t>
  </si>
  <si>
    <t>C</t>
  </si>
  <si>
    <t>D</t>
  </si>
  <si>
    <t>E</t>
  </si>
  <si>
    <t>F</t>
  </si>
  <si>
    <t>%</t>
  </si>
  <si>
    <t>Profil de consommation :</t>
  </si>
  <si>
    <t>UQ</t>
  </si>
  <si>
    <t>U cogen</t>
  </si>
  <si>
    <t>Part cogen</t>
  </si>
  <si>
    <t>A - Diurne, 5 j sur 7 (bureaux, écoles, services aux personnes)</t>
  </si>
  <si>
    <t>B - Diurne, 6 j sur 7 (commerces, culture)</t>
  </si>
  <si>
    <t>C - Diurne, 7 j sur 7 (centres sportifs)</t>
  </si>
  <si>
    <t>E - Diurne, 5 j sur 7 (PME, blanchisserie, teintureries, consommation très régulière)</t>
  </si>
  <si>
    <t>F - Diurne, 7 j sur 7 (logement collectif)</t>
  </si>
  <si>
    <t>- encodez les données relatives à votre situation dans les cases bleues.</t>
  </si>
  <si>
    <t>Nom de l'établissement :</t>
  </si>
  <si>
    <t>facteur</t>
  </si>
  <si>
    <t>exposant</t>
  </si>
  <si>
    <t>Moteurs diesel</t>
  </si>
  <si>
    <t>Version:</t>
  </si>
  <si>
    <t>Étape 2 : Sélectionner un "profil type" de consommation de chaleur</t>
  </si>
  <si>
    <t>Étape 3 : Déterminer la puissance thermique de l'unité de cogénération</t>
  </si>
  <si>
    <t>Étape 4 : Choisir une unité de cogénération</t>
  </si>
  <si>
    <t>Étape 1 : Déterminer votre Besoin Net de Chaleur (BNeC)</t>
  </si>
  <si>
    <t>Q :</t>
  </si>
  <si>
    <r>
      <t>Q</t>
    </r>
    <r>
      <rPr>
        <b/>
        <vertAlign val="subscript"/>
        <sz val="10"/>
        <rFont val="Tahoma"/>
        <family val="2"/>
      </rPr>
      <t xml:space="preserve">non cogen </t>
    </r>
    <r>
      <rPr>
        <b/>
        <sz val="10"/>
        <rFont val="Tahoma"/>
        <family val="2"/>
      </rPr>
      <t>:</t>
    </r>
  </si>
  <si>
    <r>
      <t>Part qui ne peut être assurée par la cogénération</t>
    </r>
    <r>
      <rPr>
        <b/>
        <sz val="10"/>
        <rFont val="Tahoma"/>
        <family val="2"/>
      </rPr>
      <t/>
    </r>
  </si>
  <si>
    <t>URE :</t>
  </si>
  <si>
    <t>Réduction suite à des mesures d'Utilisation Rationnelle de l'Energie</t>
  </si>
  <si>
    <r>
      <t>h</t>
    </r>
    <r>
      <rPr>
        <b/>
        <vertAlign val="subscript"/>
        <sz val="10"/>
        <rFont val="Tahoma"/>
        <family val="2"/>
      </rPr>
      <t xml:space="preserve">chaufferie </t>
    </r>
    <r>
      <rPr>
        <b/>
        <sz val="10"/>
        <rFont val="Tahoma"/>
        <family val="2"/>
      </rPr>
      <t>:</t>
    </r>
  </si>
  <si>
    <t>Journée type - % de conso</t>
  </si>
  <si>
    <t>Semaine type - % de conso</t>
  </si>
  <si>
    <t>Mois type - % de conso</t>
  </si>
  <si>
    <t>Profil E - Activité (entreprise) diurne 5 jours sur 7</t>
  </si>
  <si>
    <t>Profil D - Activité (bâtiment) continue 7 jours sur 7</t>
  </si>
  <si>
    <t>Profil C - Activité (bâtiment) diurne 7 jours sur 7</t>
  </si>
  <si>
    <t>Profil B - Activité (bâtiment) diurne 6 jours sur 7</t>
  </si>
  <si>
    <t>Profil A - Activité (bâtiment) diurne 5 jours sur 7</t>
  </si>
  <si>
    <t>Profil F - Activité (logement collectif) 7 jours sur 7</t>
  </si>
  <si>
    <t>Nombre d'heure de fonctionnement à régime nominal de la cogénération</t>
  </si>
  <si>
    <t>Augmentation/réduction probable de la consommation future</t>
  </si>
  <si>
    <t>Rendement élec</t>
  </si>
  <si>
    <t>CO2</t>
  </si>
  <si>
    <t>min</t>
  </si>
  <si>
    <t>max</t>
  </si>
  <si>
    <t>Moteurs à huile végétale</t>
  </si>
  <si>
    <t>Moteurs au biogaz de bois (gazéification)</t>
  </si>
  <si>
    <t>Moteurs au biogaz</t>
  </si>
  <si>
    <r>
      <t>D</t>
    </r>
    <r>
      <rPr>
        <b/>
        <sz val="10"/>
        <rFont val="Tahoma"/>
        <family val="2"/>
      </rPr>
      <t>Q :</t>
    </r>
  </si>
  <si>
    <t>Moteurs au gaz naturel</t>
  </si>
  <si>
    <t>Dimensionnement de l'unité de cogénération</t>
  </si>
  <si>
    <t>Rentabilité de votre projet de cogénération</t>
  </si>
  <si>
    <r>
      <t>E</t>
    </r>
    <r>
      <rPr>
        <b/>
        <vertAlign val="subscript"/>
        <sz val="10"/>
        <rFont val="Tahoma"/>
        <family val="2"/>
      </rPr>
      <t>totale</t>
    </r>
    <r>
      <rPr>
        <b/>
        <sz val="10"/>
        <rFont val="Tahoma"/>
        <family val="2"/>
      </rPr>
      <t xml:space="preserve"> :</t>
    </r>
  </si>
  <si>
    <r>
      <t>Coût E</t>
    </r>
    <r>
      <rPr>
        <b/>
        <vertAlign val="subscript"/>
        <sz val="10"/>
        <rFont val="Tahoma"/>
        <family val="2"/>
      </rPr>
      <t>totale</t>
    </r>
    <r>
      <rPr>
        <b/>
        <sz val="10"/>
        <rFont val="Tahoma"/>
        <family val="2"/>
      </rPr>
      <t xml:space="preserve"> :</t>
    </r>
  </si>
  <si>
    <t>€/an</t>
  </si>
  <si>
    <t xml:space="preserve">Étape 1 : Calculer le gain sur la facture électrique </t>
  </si>
  <si>
    <t>Étape 2 : Calculer le gain sur la chaleur</t>
  </si>
  <si>
    <t>Consommation annuelle en combustible</t>
  </si>
  <si>
    <t>Prix moyen du combustible</t>
  </si>
  <si>
    <t>Coût Q :</t>
  </si>
  <si>
    <t xml:space="preserve">Région où sera installée l'unité de cogénération </t>
  </si>
  <si>
    <t>Région où sera installée l'unité de cogénération</t>
  </si>
  <si>
    <t>Région de Bruxelles-Capitale</t>
  </si>
  <si>
    <t>Région Wallonne</t>
  </si>
  <si>
    <r>
      <t>Économie en CO</t>
    </r>
    <r>
      <rPr>
        <vertAlign val="subscript"/>
        <sz val="10"/>
        <rFont val="Tahoma"/>
        <family val="2"/>
      </rPr>
      <t>2</t>
    </r>
    <r>
      <rPr>
        <sz val="10"/>
        <rFont val="Tahoma"/>
        <family val="2"/>
      </rPr>
      <t xml:space="preserve"> de l'unité de cogénération </t>
    </r>
  </si>
  <si>
    <r>
      <t>kg CO</t>
    </r>
    <r>
      <rPr>
        <vertAlign val="subscript"/>
        <sz val="10"/>
        <rFont val="Tahoma"/>
        <family val="2"/>
      </rPr>
      <t>2</t>
    </r>
    <r>
      <rPr>
        <sz val="10"/>
        <rFont val="Tahoma"/>
        <family val="2"/>
      </rPr>
      <t>/MWh</t>
    </r>
    <r>
      <rPr>
        <vertAlign val="subscript"/>
        <sz val="10"/>
        <rFont val="Tahoma"/>
        <family val="2"/>
      </rPr>
      <t>prim</t>
    </r>
    <r>
      <rPr>
        <sz val="10"/>
        <rFont val="Tahoma"/>
        <family val="2"/>
      </rPr>
      <t xml:space="preserve"> PCI</t>
    </r>
  </si>
  <si>
    <r>
      <t>kg CO</t>
    </r>
    <r>
      <rPr>
        <vertAlign val="subscript"/>
        <sz val="10"/>
        <rFont val="Tahoma"/>
        <family val="2"/>
      </rPr>
      <t>2</t>
    </r>
    <r>
      <rPr>
        <sz val="10"/>
        <rFont val="Tahoma"/>
        <family val="2"/>
      </rPr>
      <t>/an</t>
    </r>
  </si>
  <si>
    <r>
      <t>Coefficient d'émission en CO</t>
    </r>
    <r>
      <rPr>
        <vertAlign val="subscript"/>
        <sz val="10"/>
        <rFont val="Tahoma"/>
        <family val="2"/>
      </rPr>
      <t>2</t>
    </r>
    <r>
      <rPr>
        <sz val="10"/>
        <rFont val="Tahoma"/>
        <family val="2"/>
      </rPr>
      <t xml:space="preserve"> de l'unité de cogénération</t>
    </r>
  </si>
  <si>
    <t>€/CV</t>
  </si>
  <si>
    <r>
      <t>Étape 3 : Calculer le gain sur les certificats verts</t>
    </r>
    <r>
      <rPr>
        <sz val="10"/>
        <rFont val="Tahoma"/>
        <family val="2"/>
      </rPr>
      <t xml:space="preserve"> (CV)</t>
    </r>
  </si>
  <si>
    <t>Prix du certificat vert</t>
  </si>
  <si>
    <r>
      <t>Prix</t>
    </r>
    <r>
      <rPr>
        <b/>
        <vertAlign val="subscript"/>
        <sz val="10"/>
        <rFont val="Tahoma"/>
        <family val="2"/>
      </rPr>
      <t>CV</t>
    </r>
    <r>
      <rPr>
        <b/>
        <sz val="10"/>
        <rFont val="Tahoma"/>
        <family val="2"/>
      </rPr>
      <t xml:space="preserve"> :</t>
    </r>
  </si>
  <si>
    <t>Étape 4 : Calculer la dépense en combustible</t>
  </si>
  <si>
    <t>Consommation annuelle en combustible de la cogénération</t>
  </si>
  <si>
    <t>Coût du combustible pour la cogénération</t>
  </si>
  <si>
    <r>
      <t>Prix</t>
    </r>
    <r>
      <rPr>
        <b/>
        <vertAlign val="subscript"/>
        <sz val="10"/>
        <rFont val="Tahoma"/>
        <family val="2"/>
      </rPr>
      <t>moyen comb cogen</t>
    </r>
    <r>
      <rPr>
        <b/>
        <sz val="10"/>
        <rFont val="Tahoma"/>
        <family val="2"/>
      </rPr>
      <t xml:space="preserve"> :</t>
    </r>
  </si>
  <si>
    <r>
      <t>€/MWh</t>
    </r>
    <r>
      <rPr>
        <vertAlign val="subscript"/>
        <sz val="10"/>
        <rFont val="Tahoma"/>
        <family val="2"/>
      </rPr>
      <t xml:space="preserve">prim </t>
    </r>
    <r>
      <rPr>
        <sz val="10"/>
        <rFont val="Tahoma"/>
        <family val="2"/>
      </rPr>
      <t>PCI</t>
    </r>
    <r>
      <rPr>
        <vertAlign val="subscript"/>
        <sz val="10"/>
        <rFont val="Tahoma"/>
        <family val="2"/>
      </rPr>
      <t xml:space="preserve"> </t>
    </r>
  </si>
  <si>
    <t>Étape 5 : Calculer la dépense en entretien</t>
  </si>
  <si>
    <r>
      <t>Coût de l'entretien par kWh</t>
    </r>
    <r>
      <rPr>
        <vertAlign val="subscript"/>
        <sz val="10"/>
        <rFont val="Tahoma"/>
        <family val="2"/>
      </rPr>
      <t>é</t>
    </r>
    <r>
      <rPr>
        <sz val="10"/>
        <rFont val="Tahoma"/>
        <family val="2"/>
      </rPr>
      <t xml:space="preserve"> produit</t>
    </r>
  </si>
  <si>
    <t>€/h</t>
  </si>
  <si>
    <t>Étape 6 : Estimer le montant d'investissement</t>
  </si>
  <si>
    <t>Facteur de sur-investissement</t>
  </si>
  <si>
    <r>
      <t>Surinv</t>
    </r>
    <r>
      <rPr>
        <b/>
        <vertAlign val="subscript"/>
        <sz val="10"/>
        <rFont val="Tahoma"/>
        <family val="2"/>
      </rPr>
      <t>cogen</t>
    </r>
    <r>
      <rPr>
        <b/>
        <sz val="10"/>
        <rFont val="Tahoma"/>
        <family val="2"/>
      </rPr>
      <t xml:space="preserve"> :</t>
    </r>
  </si>
  <si>
    <t>Montant des aides financières</t>
  </si>
  <si>
    <t>Primes :</t>
  </si>
  <si>
    <t>€</t>
  </si>
  <si>
    <t>Étape 7 : Estimer la rentabilité du projet</t>
  </si>
  <si>
    <t>années</t>
  </si>
  <si>
    <t xml:space="preserve">Nombre de certificats verts attribué </t>
  </si>
  <si>
    <r>
      <t xml:space="preserve">Besoin Net de Chaleur                                    </t>
    </r>
    <r>
      <rPr>
        <b/>
        <sz val="10"/>
        <rFont val="Tahoma"/>
        <family val="2"/>
      </rPr>
      <t/>
    </r>
  </si>
  <si>
    <t xml:space="preserve">Puissance thermique de l'unité de cogénération                   </t>
  </si>
  <si>
    <r>
      <t xml:space="preserve">  P</t>
    </r>
    <r>
      <rPr>
        <b/>
        <vertAlign val="subscript"/>
        <sz val="10"/>
        <rFont val="Tahoma"/>
        <family val="2"/>
      </rPr>
      <t>Q cogen</t>
    </r>
    <r>
      <rPr>
        <b/>
        <sz val="10"/>
        <rFont val="Tahoma"/>
        <family val="2"/>
      </rPr>
      <t xml:space="preserve"> = (BNeC x Part</t>
    </r>
    <r>
      <rPr>
        <b/>
        <vertAlign val="subscript"/>
        <sz val="10"/>
        <rFont val="Tahoma"/>
        <family val="2"/>
      </rPr>
      <t>cogen</t>
    </r>
    <r>
      <rPr>
        <b/>
        <sz val="10"/>
        <rFont val="Tahoma"/>
        <family val="2"/>
      </rPr>
      <t>)/U</t>
    </r>
    <r>
      <rPr>
        <b/>
        <vertAlign val="subscript"/>
        <sz val="10"/>
        <rFont val="Tahoma"/>
        <family val="2"/>
      </rPr>
      <t>Q</t>
    </r>
    <r>
      <rPr>
        <b/>
        <sz val="10"/>
        <rFont val="Tahoma"/>
        <family val="2"/>
      </rPr>
      <t xml:space="preserve"> :</t>
    </r>
  </si>
  <si>
    <t xml:space="preserve">Quantité de chaleur fournie par l'unité de cogénération            </t>
  </si>
  <si>
    <r>
      <t xml:space="preserve">           Q</t>
    </r>
    <r>
      <rPr>
        <b/>
        <vertAlign val="subscript"/>
        <sz val="10"/>
        <rFont val="Tahoma"/>
        <family val="2"/>
      </rPr>
      <t>cogen</t>
    </r>
    <r>
      <rPr>
        <b/>
        <sz val="10"/>
        <rFont val="Tahoma"/>
        <family val="2"/>
      </rPr>
      <t xml:space="preserve"> = P</t>
    </r>
    <r>
      <rPr>
        <b/>
        <vertAlign val="subscript"/>
        <sz val="10"/>
        <rFont val="Tahoma"/>
        <family val="2"/>
      </rPr>
      <t>Q cogen</t>
    </r>
    <r>
      <rPr>
        <b/>
        <sz val="10"/>
        <rFont val="Tahoma"/>
        <family val="2"/>
      </rPr>
      <t xml:space="preserve"> x U</t>
    </r>
    <r>
      <rPr>
        <b/>
        <vertAlign val="subscript"/>
        <sz val="10"/>
        <rFont val="Tahoma"/>
        <family val="2"/>
      </rPr>
      <t>cogen</t>
    </r>
    <r>
      <rPr>
        <b/>
        <sz val="10"/>
        <rFont val="Tahoma"/>
        <family val="2"/>
      </rPr>
      <t xml:space="preserve"> :</t>
    </r>
  </si>
  <si>
    <t xml:space="preserve">Quantité d'électricité fournie par l'unité de cogénération              </t>
  </si>
  <si>
    <r>
      <t xml:space="preserve">        E</t>
    </r>
    <r>
      <rPr>
        <b/>
        <vertAlign val="subscript"/>
        <sz val="10"/>
        <rFont val="Tahoma"/>
        <family val="2"/>
      </rPr>
      <t>cogen</t>
    </r>
    <r>
      <rPr>
        <b/>
        <sz val="10"/>
        <rFont val="Tahoma"/>
        <family val="2"/>
      </rPr>
      <t xml:space="preserve"> = P</t>
    </r>
    <r>
      <rPr>
        <b/>
        <vertAlign val="subscript"/>
        <sz val="10"/>
        <rFont val="Tahoma"/>
        <family val="2"/>
      </rPr>
      <t>E cogen</t>
    </r>
    <r>
      <rPr>
        <b/>
        <sz val="10"/>
        <rFont val="Tahoma"/>
        <family val="2"/>
      </rPr>
      <t xml:space="preserve"> x U</t>
    </r>
    <r>
      <rPr>
        <b/>
        <vertAlign val="subscript"/>
        <sz val="10"/>
        <rFont val="Tahoma"/>
        <family val="2"/>
      </rPr>
      <t>cogen</t>
    </r>
    <r>
      <rPr>
        <b/>
        <sz val="10"/>
        <rFont val="Tahoma"/>
        <family val="2"/>
      </rPr>
      <t xml:space="preserve"> :</t>
    </r>
  </si>
  <si>
    <t xml:space="preserve">Consommation de la chaufferie évitée                              </t>
  </si>
  <si>
    <r>
      <t xml:space="preserve">       Cons</t>
    </r>
    <r>
      <rPr>
        <b/>
        <vertAlign val="subscript"/>
        <sz val="10"/>
        <rFont val="Tahoma"/>
        <family val="2"/>
      </rPr>
      <t xml:space="preserve">chaufferie </t>
    </r>
    <r>
      <rPr>
        <b/>
        <sz val="10"/>
        <rFont val="Tahoma"/>
        <family val="2"/>
      </rPr>
      <t>= Q</t>
    </r>
    <r>
      <rPr>
        <b/>
        <vertAlign val="subscript"/>
        <sz val="10"/>
        <rFont val="Tahoma"/>
        <family val="2"/>
      </rPr>
      <t>cogen</t>
    </r>
    <r>
      <rPr>
        <b/>
        <sz val="10"/>
        <rFont val="Tahoma"/>
        <family val="2"/>
      </rPr>
      <t xml:space="preserve"> / </t>
    </r>
    <r>
      <rPr>
        <b/>
        <sz val="10"/>
        <rFont val="Symbol"/>
        <family val="1"/>
        <charset val="2"/>
      </rPr>
      <t>h</t>
    </r>
    <r>
      <rPr>
        <b/>
        <vertAlign val="subscript"/>
        <sz val="10"/>
        <rFont val="Tahoma"/>
        <family val="2"/>
      </rPr>
      <t>chaufferie</t>
    </r>
    <r>
      <rPr>
        <b/>
        <sz val="10"/>
        <rFont val="Tahoma"/>
        <family val="2"/>
      </rPr>
      <t xml:space="preserve"> :</t>
    </r>
  </si>
  <si>
    <t xml:space="preserve">Gain issu de la vente des certificat verts                                 </t>
  </si>
  <si>
    <r>
      <t xml:space="preserve">                Gain</t>
    </r>
    <r>
      <rPr>
        <b/>
        <vertAlign val="subscript"/>
        <sz val="10"/>
        <rFont val="Tahoma"/>
        <family val="2"/>
      </rPr>
      <t>CV</t>
    </r>
    <r>
      <rPr>
        <b/>
        <sz val="10"/>
        <rFont val="Tahoma"/>
        <family val="2"/>
      </rPr>
      <t xml:space="preserve"> = N</t>
    </r>
    <r>
      <rPr>
        <b/>
        <vertAlign val="subscript"/>
        <sz val="10"/>
        <rFont val="Tahoma"/>
        <family val="2"/>
      </rPr>
      <t xml:space="preserve">CV </t>
    </r>
    <r>
      <rPr>
        <b/>
        <sz val="10"/>
        <rFont val="Tahoma"/>
        <family val="2"/>
      </rPr>
      <t>x Prix</t>
    </r>
    <r>
      <rPr>
        <b/>
        <vertAlign val="subscript"/>
        <sz val="10"/>
        <rFont val="Tahoma"/>
        <family val="2"/>
      </rPr>
      <t>CV</t>
    </r>
    <r>
      <rPr>
        <b/>
        <sz val="10"/>
        <rFont val="Tahoma"/>
        <family val="2"/>
      </rPr>
      <t xml:space="preserve"> :</t>
    </r>
  </si>
  <si>
    <r>
      <t xml:space="preserve">(voir annexe)   </t>
    </r>
    <r>
      <rPr>
        <b/>
        <sz val="10"/>
        <rFont val="Tahoma"/>
        <family val="2"/>
      </rPr>
      <t>C</t>
    </r>
    <r>
      <rPr>
        <b/>
        <vertAlign val="subscript"/>
        <sz val="10"/>
        <rFont val="Tahoma"/>
        <family val="2"/>
      </rPr>
      <t xml:space="preserve">CO2 </t>
    </r>
    <r>
      <rPr>
        <b/>
        <sz val="10"/>
        <rFont val="Tahoma"/>
        <family val="2"/>
      </rPr>
      <t>:</t>
    </r>
  </si>
  <si>
    <r>
      <t xml:space="preserve">(voir annexe)   </t>
    </r>
    <r>
      <rPr>
        <b/>
        <sz val="10"/>
        <rFont val="Tahoma"/>
        <family val="2"/>
      </rPr>
      <t>G</t>
    </r>
    <r>
      <rPr>
        <b/>
        <vertAlign val="subscript"/>
        <sz val="10"/>
        <rFont val="Tahoma"/>
        <family val="2"/>
      </rPr>
      <t>CO2</t>
    </r>
    <r>
      <rPr>
        <b/>
        <sz val="10"/>
        <rFont val="Tahoma"/>
        <family val="2"/>
      </rPr>
      <t xml:space="preserve"> : </t>
    </r>
  </si>
  <si>
    <r>
      <t xml:space="preserve">(voir annexe)   </t>
    </r>
    <r>
      <rPr>
        <b/>
        <sz val="10"/>
        <rFont val="Tahoma"/>
        <family val="2"/>
      </rPr>
      <t>N</t>
    </r>
    <r>
      <rPr>
        <b/>
        <vertAlign val="subscript"/>
        <sz val="10"/>
        <rFont val="Tahoma"/>
        <family val="2"/>
      </rPr>
      <t>CV</t>
    </r>
    <r>
      <rPr>
        <b/>
        <sz val="10"/>
        <rFont val="Tahoma"/>
        <family val="2"/>
      </rPr>
      <t xml:space="preserve"> :</t>
    </r>
  </si>
  <si>
    <r>
      <t xml:space="preserve">                                           COGEN</t>
    </r>
    <r>
      <rPr>
        <i/>
        <sz val="16"/>
        <color indexed="12"/>
        <rFont val="Tahoma"/>
        <family val="2"/>
      </rPr>
      <t>calc.</t>
    </r>
    <r>
      <rPr>
        <sz val="16"/>
        <color indexed="12"/>
        <rFont val="Tahoma"/>
        <family val="2"/>
      </rPr>
      <t>xls</t>
    </r>
  </si>
  <si>
    <r>
      <t xml:space="preserve">Dépense en combustible pour la cogénération    </t>
    </r>
    <r>
      <rPr>
        <b/>
        <sz val="10"/>
        <rFont val="Tahoma"/>
        <family val="2"/>
      </rPr>
      <t/>
    </r>
  </si>
  <si>
    <r>
      <t>Dépense</t>
    </r>
    <r>
      <rPr>
        <b/>
        <vertAlign val="subscript"/>
        <sz val="10"/>
        <rFont val="Tahoma"/>
        <family val="2"/>
      </rPr>
      <t xml:space="preserve">comb </t>
    </r>
    <r>
      <rPr>
        <b/>
        <sz val="10"/>
        <rFont val="Tahoma"/>
        <family val="2"/>
      </rPr>
      <t>= Cons</t>
    </r>
    <r>
      <rPr>
        <b/>
        <vertAlign val="subscript"/>
        <sz val="10"/>
        <rFont val="Tahoma"/>
        <family val="2"/>
      </rPr>
      <t>cogen</t>
    </r>
    <r>
      <rPr>
        <b/>
        <sz val="10"/>
        <rFont val="Tahoma"/>
        <family val="2"/>
      </rPr>
      <t xml:space="preserve"> x Prix</t>
    </r>
    <r>
      <rPr>
        <b/>
        <vertAlign val="subscript"/>
        <sz val="10"/>
        <rFont val="Tahoma"/>
        <family val="2"/>
      </rPr>
      <t>moyen comb cogen</t>
    </r>
    <r>
      <rPr>
        <b/>
        <sz val="10"/>
        <rFont val="Tahoma"/>
        <family val="2"/>
      </rPr>
      <t xml:space="preserve"> :</t>
    </r>
  </si>
  <si>
    <t xml:space="preserve">Dépense en entretien                                        </t>
  </si>
  <si>
    <r>
      <t>Coût</t>
    </r>
    <r>
      <rPr>
        <b/>
        <vertAlign val="subscript"/>
        <sz val="10"/>
        <rFont val="Tahoma"/>
        <family val="2"/>
      </rPr>
      <t>entretien horaire</t>
    </r>
    <r>
      <rPr>
        <b/>
        <sz val="10"/>
        <rFont val="Tahoma"/>
        <family val="2"/>
      </rPr>
      <t xml:space="preserve"> = Coût</t>
    </r>
    <r>
      <rPr>
        <b/>
        <vertAlign val="subscript"/>
        <sz val="10"/>
        <rFont val="Tahoma"/>
        <family val="2"/>
      </rPr>
      <t>entretien</t>
    </r>
    <r>
      <rPr>
        <b/>
        <sz val="10"/>
        <rFont val="Tahoma"/>
        <family val="2"/>
      </rPr>
      <t xml:space="preserve"> x P</t>
    </r>
    <r>
      <rPr>
        <b/>
        <vertAlign val="subscript"/>
        <sz val="10"/>
        <rFont val="Tahoma"/>
        <family val="2"/>
      </rPr>
      <t>E cogen</t>
    </r>
    <r>
      <rPr>
        <b/>
        <sz val="10"/>
        <rFont val="Tahoma"/>
        <family val="2"/>
      </rPr>
      <t xml:space="preserve"> :</t>
    </r>
  </si>
  <si>
    <r>
      <t xml:space="preserve">           Dépense</t>
    </r>
    <r>
      <rPr>
        <b/>
        <vertAlign val="subscript"/>
        <sz val="10"/>
        <rFont val="Tahoma"/>
        <family val="2"/>
      </rPr>
      <t>entretien</t>
    </r>
    <r>
      <rPr>
        <b/>
        <sz val="10"/>
        <rFont val="Tahoma"/>
        <family val="2"/>
      </rPr>
      <t xml:space="preserve"> = E</t>
    </r>
    <r>
      <rPr>
        <b/>
        <vertAlign val="subscript"/>
        <sz val="10"/>
        <rFont val="Tahoma"/>
        <family val="2"/>
      </rPr>
      <t>cogen</t>
    </r>
    <r>
      <rPr>
        <b/>
        <sz val="10"/>
        <rFont val="Tahoma"/>
        <family val="2"/>
      </rPr>
      <t xml:space="preserve"> x Coût</t>
    </r>
    <r>
      <rPr>
        <b/>
        <vertAlign val="subscript"/>
        <sz val="10"/>
        <rFont val="Tahoma"/>
        <family val="2"/>
      </rPr>
      <t>entretien</t>
    </r>
    <r>
      <rPr>
        <b/>
        <sz val="10"/>
        <rFont val="Tahoma"/>
        <family val="2"/>
      </rPr>
      <t xml:space="preserve"> :</t>
    </r>
  </si>
  <si>
    <t>Coût de l'entretien horaire</t>
  </si>
  <si>
    <r>
      <t xml:space="preserve">(voir abaques)    </t>
    </r>
    <r>
      <rPr>
        <b/>
        <sz val="10"/>
        <rFont val="Tahoma"/>
        <family val="2"/>
      </rPr>
      <t>Coût</t>
    </r>
    <r>
      <rPr>
        <b/>
        <vertAlign val="subscript"/>
        <sz val="10"/>
        <rFont val="Tahoma"/>
        <family val="2"/>
      </rPr>
      <t>entretien</t>
    </r>
    <r>
      <rPr>
        <b/>
        <sz val="10"/>
        <rFont val="Tahoma"/>
        <family val="2"/>
      </rPr>
      <t xml:space="preserve"> :</t>
    </r>
  </si>
  <si>
    <r>
      <t>(voir abaques)</t>
    </r>
    <r>
      <rPr>
        <b/>
        <sz val="10"/>
        <rFont val="Tahoma"/>
        <family val="2"/>
      </rPr>
      <t xml:space="preserve">    Inv</t>
    </r>
    <r>
      <rPr>
        <b/>
        <vertAlign val="subscript"/>
        <sz val="10"/>
        <rFont val="Tahoma"/>
        <family val="2"/>
      </rPr>
      <t>cogen</t>
    </r>
    <r>
      <rPr>
        <b/>
        <sz val="10"/>
        <rFont val="Tahoma"/>
        <family val="2"/>
      </rPr>
      <t xml:space="preserve"> :</t>
    </r>
  </si>
  <si>
    <t xml:space="preserve">Investissement net                               </t>
  </si>
  <si>
    <t xml:space="preserve">Gain annuel net du projet de cogénération </t>
  </si>
  <si>
    <t>Temps de retour sur investissement du projet de cogénération</t>
  </si>
  <si>
    <r>
      <t>Temps de retour</t>
    </r>
    <r>
      <rPr>
        <b/>
        <vertAlign val="subscript"/>
        <sz val="10"/>
        <rFont val="Tahoma"/>
        <family val="2"/>
      </rPr>
      <t xml:space="preserve">simple </t>
    </r>
    <r>
      <rPr>
        <b/>
        <sz val="10"/>
        <rFont val="Tahoma"/>
        <family val="2"/>
      </rPr>
      <t>= Inv</t>
    </r>
    <r>
      <rPr>
        <b/>
        <vertAlign val="subscript"/>
        <sz val="10"/>
        <rFont val="Tahoma"/>
        <family val="2"/>
      </rPr>
      <t xml:space="preserve">net cogen </t>
    </r>
    <r>
      <rPr>
        <b/>
        <sz val="10"/>
        <rFont val="Tahoma"/>
        <family val="2"/>
      </rPr>
      <t>/ Gain annuel</t>
    </r>
    <r>
      <rPr>
        <b/>
        <vertAlign val="subscript"/>
        <sz val="10"/>
        <rFont val="Tahoma"/>
        <family val="2"/>
      </rPr>
      <t>net</t>
    </r>
    <r>
      <rPr>
        <b/>
        <sz val="10"/>
        <rFont val="Tahoma"/>
        <family val="2"/>
      </rPr>
      <t xml:space="preserve"> :</t>
    </r>
  </si>
  <si>
    <t xml:space="preserve">Facteur de réduction de la puissance thermique de la cogénération                  </t>
  </si>
  <si>
    <t>Prix moyen de l'électricité à l'achat</t>
  </si>
  <si>
    <r>
      <t>Prix</t>
    </r>
    <r>
      <rPr>
        <b/>
        <vertAlign val="subscript"/>
        <sz val="10"/>
        <rFont val="Tahoma"/>
        <family val="2"/>
      </rPr>
      <t>moyen achat</t>
    </r>
    <r>
      <rPr>
        <b/>
        <sz val="10"/>
        <rFont val="Tahoma"/>
        <family val="2"/>
      </rPr>
      <t xml:space="preserve"> = Coût E</t>
    </r>
    <r>
      <rPr>
        <b/>
        <vertAlign val="subscript"/>
        <sz val="10"/>
        <rFont val="Tahoma"/>
        <family val="2"/>
      </rPr>
      <t>totale</t>
    </r>
    <r>
      <rPr>
        <b/>
        <sz val="10"/>
        <rFont val="Tahoma"/>
        <family val="2"/>
      </rPr>
      <t xml:space="preserve"> / E</t>
    </r>
    <r>
      <rPr>
        <b/>
        <vertAlign val="subscript"/>
        <sz val="10"/>
        <rFont val="Tahoma"/>
        <family val="2"/>
      </rPr>
      <t xml:space="preserve">totale </t>
    </r>
    <r>
      <rPr>
        <b/>
        <sz val="10"/>
        <rFont val="Tahoma"/>
        <family val="2"/>
      </rPr>
      <t>:</t>
    </r>
    <r>
      <rPr>
        <b/>
        <vertAlign val="subscript"/>
        <sz val="10"/>
        <rFont val="Tahoma"/>
        <family val="2"/>
      </rPr>
      <t xml:space="preserve"> </t>
    </r>
  </si>
  <si>
    <t xml:space="preserve">Gain sur la facture d'achat d'électricité                    </t>
  </si>
  <si>
    <r>
      <t>Réduction P</t>
    </r>
    <r>
      <rPr>
        <b/>
        <vertAlign val="subscript"/>
        <sz val="10"/>
        <rFont val="Tahoma"/>
        <family val="2"/>
      </rPr>
      <t xml:space="preserve">Q cogen </t>
    </r>
    <r>
      <rPr>
        <b/>
        <sz val="10"/>
        <rFont val="Tahoma"/>
        <family val="2"/>
      </rPr>
      <t>:</t>
    </r>
  </si>
  <si>
    <t>CONCLUSION</t>
  </si>
  <si>
    <t xml:space="preserve">Investissement de l'unité de cogénération "tout compris" </t>
  </si>
  <si>
    <t>Investissement brut de l'unité de cogénération "tout compris"</t>
  </si>
  <si>
    <r>
      <t xml:space="preserve">           Inv</t>
    </r>
    <r>
      <rPr>
        <b/>
        <vertAlign val="subscript"/>
        <sz val="10"/>
        <rFont val="Tahoma"/>
        <family val="2"/>
      </rPr>
      <t xml:space="preserve">net cogen </t>
    </r>
    <r>
      <rPr>
        <b/>
        <sz val="10"/>
        <rFont val="Tahoma"/>
        <family val="2"/>
      </rPr>
      <t>= Inv</t>
    </r>
    <r>
      <rPr>
        <b/>
        <vertAlign val="subscript"/>
        <sz val="10"/>
        <rFont val="Tahoma"/>
        <family val="2"/>
      </rPr>
      <t>cogen</t>
    </r>
    <r>
      <rPr>
        <b/>
        <sz val="10"/>
        <rFont val="Tahoma"/>
        <family val="2"/>
      </rPr>
      <t xml:space="preserve"> + Surinv</t>
    </r>
    <r>
      <rPr>
        <b/>
        <vertAlign val="subscript"/>
        <sz val="10"/>
        <rFont val="Tahoma"/>
        <family val="2"/>
      </rPr>
      <t>cogen</t>
    </r>
    <r>
      <rPr>
        <b/>
        <sz val="10"/>
        <rFont val="Tahoma"/>
        <family val="2"/>
      </rPr>
      <t xml:space="preserve"> - Primes :</t>
    </r>
  </si>
  <si>
    <r>
      <t>Prix</t>
    </r>
    <r>
      <rPr>
        <b/>
        <vertAlign val="subscript"/>
        <sz val="10"/>
        <rFont val="Tahoma"/>
        <family val="2"/>
      </rPr>
      <t>moyen comb</t>
    </r>
    <r>
      <rPr>
        <b/>
        <sz val="10"/>
        <rFont val="Tahoma"/>
        <family val="2"/>
      </rPr>
      <t xml:space="preserve"> = Coût Q / Q :</t>
    </r>
    <r>
      <rPr>
        <b/>
        <vertAlign val="subscript"/>
        <sz val="10"/>
        <rFont val="Tahoma"/>
        <family val="2"/>
      </rPr>
      <t xml:space="preserve"> </t>
    </r>
  </si>
  <si>
    <r>
      <t xml:space="preserve">              Gain</t>
    </r>
    <r>
      <rPr>
        <b/>
        <vertAlign val="subscript"/>
        <sz val="10"/>
        <rFont val="Tahoma"/>
        <family val="2"/>
      </rPr>
      <t>chaleur</t>
    </r>
    <r>
      <rPr>
        <b/>
        <sz val="10"/>
        <rFont val="Tahoma"/>
        <family val="2"/>
      </rPr>
      <t xml:space="preserve"> = Cons</t>
    </r>
    <r>
      <rPr>
        <b/>
        <vertAlign val="subscript"/>
        <sz val="10"/>
        <rFont val="Tahoma"/>
        <family val="2"/>
      </rPr>
      <t>chaufferie</t>
    </r>
    <r>
      <rPr>
        <b/>
        <sz val="10"/>
        <rFont val="Tahoma"/>
        <family val="2"/>
      </rPr>
      <t xml:space="preserve"> x Prix</t>
    </r>
    <r>
      <rPr>
        <b/>
        <vertAlign val="subscript"/>
        <sz val="10"/>
        <rFont val="Tahoma"/>
        <family val="2"/>
      </rPr>
      <t>moyen comb</t>
    </r>
    <r>
      <rPr>
        <b/>
        <sz val="10"/>
        <rFont val="Tahoma"/>
        <family val="2"/>
      </rPr>
      <t xml:space="preserve"> :</t>
    </r>
  </si>
  <si>
    <t xml:space="preserve">Rendement thermique </t>
  </si>
  <si>
    <r>
      <t>h</t>
    </r>
    <r>
      <rPr>
        <b/>
        <vertAlign val="subscript"/>
        <sz val="10"/>
        <rFont val="Tahoma"/>
        <family val="2"/>
      </rPr>
      <t>th</t>
    </r>
    <r>
      <rPr>
        <b/>
        <sz val="10"/>
        <rFont val="Tahoma"/>
        <family val="2"/>
      </rPr>
      <t xml:space="preserve"> = P</t>
    </r>
    <r>
      <rPr>
        <b/>
        <vertAlign val="subscript"/>
        <sz val="10"/>
        <rFont val="Tahoma"/>
        <family val="2"/>
      </rPr>
      <t>Q cogen</t>
    </r>
    <r>
      <rPr>
        <b/>
        <sz val="10"/>
        <rFont val="Tahoma"/>
        <family val="2"/>
      </rPr>
      <t xml:space="preserve"> / (P</t>
    </r>
    <r>
      <rPr>
        <b/>
        <vertAlign val="subscript"/>
        <sz val="10"/>
        <rFont val="Tahoma"/>
        <family val="2"/>
      </rPr>
      <t xml:space="preserve">E cogen </t>
    </r>
    <r>
      <rPr>
        <b/>
        <sz val="10"/>
        <rFont val="Tahoma"/>
        <family val="2"/>
      </rPr>
      <t xml:space="preserve">/ </t>
    </r>
    <r>
      <rPr>
        <b/>
        <sz val="10"/>
        <rFont val="Symbol"/>
        <family val="1"/>
        <charset val="2"/>
      </rPr>
      <t>h</t>
    </r>
    <r>
      <rPr>
        <b/>
        <vertAlign val="subscript"/>
        <sz val="10"/>
        <rFont val="Tahoma"/>
        <family val="2"/>
      </rPr>
      <t>e</t>
    </r>
    <r>
      <rPr>
        <b/>
        <sz val="10"/>
        <rFont val="Tahoma"/>
        <family val="2"/>
      </rPr>
      <t>) :</t>
    </r>
  </si>
  <si>
    <t xml:space="preserve">Gain sur la facture chaleur             </t>
  </si>
  <si>
    <r>
      <t>Inv</t>
    </r>
    <r>
      <rPr>
        <b/>
        <vertAlign val="subscript"/>
        <sz val="10"/>
        <rFont val="Tahoma"/>
        <family val="2"/>
      </rPr>
      <t>brut cogen</t>
    </r>
    <r>
      <rPr>
        <b/>
        <sz val="10"/>
        <rFont val="Tahoma"/>
        <family val="2"/>
      </rPr>
      <t xml:space="preserve"> = Inv</t>
    </r>
    <r>
      <rPr>
        <b/>
        <vertAlign val="subscript"/>
        <sz val="10"/>
        <rFont val="Tahoma"/>
        <family val="2"/>
      </rPr>
      <t>cogen</t>
    </r>
    <r>
      <rPr>
        <b/>
        <sz val="10"/>
        <rFont val="Tahoma"/>
        <family val="2"/>
      </rPr>
      <t xml:space="preserve"> x Surinv</t>
    </r>
    <r>
      <rPr>
        <b/>
        <vertAlign val="subscript"/>
        <sz val="10"/>
        <rFont val="Tahoma"/>
        <family val="2"/>
      </rPr>
      <t>cogen</t>
    </r>
    <r>
      <rPr>
        <b/>
        <sz val="10"/>
        <rFont val="Tahoma"/>
        <family val="2"/>
      </rPr>
      <t xml:space="preserve"> : </t>
    </r>
  </si>
  <si>
    <r>
      <t>€/MWh</t>
    </r>
    <r>
      <rPr>
        <vertAlign val="subscript"/>
        <sz val="10"/>
        <rFont val="Tahoma"/>
        <family val="2"/>
      </rPr>
      <t>e</t>
    </r>
  </si>
  <si>
    <r>
      <t>U</t>
    </r>
    <r>
      <rPr>
        <b/>
        <vertAlign val="subscript"/>
        <sz val="10"/>
        <rFont val="Tahoma"/>
        <family val="2"/>
      </rPr>
      <t>Q</t>
    </r>
    <r>
      <rPr>
        <b/>
        <sz val="10"/>
        <rFont val="Tahoma"/>
        <family val="2"/>
      </rPr>
      <t xml:space="preserve"> :</t>
    </r>
  </si>
  <si>
    <r>
      <t xml:space="preserve"> </t>
    </r>
    <r>
      <rPr>
        <b/>
        <sz val="10"/>
        <rFont val="Tahoma"/>
        <family val="2"/>
      </rPr>
      <t>U</t>
    </r>
    <r>
      <rPr>
        <b/>
        <vertAlign val="subscript"/>
        <sz val="10"/>
        <rFont val="Tahoma"/>
        <family val="2"/>
      </rPr>
      <t>cogen</t>
    </r>
    <r>
      <rPr>
        <sz val="10"/>
        <rFont val="Tahoma"/>
        <family val="2"/>
      </rPr>
      <t xml:space="preserve"> </t>
    </r>
    <r>
      <rPr>
        <b/>
        <sz val="10"/>
        <rFont val="Tahoma"/>
        <family val="2"/>
      </rPr>
      <t>:</t>
    </r>
  </si>
  <si>
    <r>
      <t>Part</t>
    </r>
    <r>
      <rPr>
        <b/>
        <vertAlign val="subscript"/>
        <sz val="10"/>
        <rFont val="Tahoma"/>
        <family val="2"/>
      </rPr>
      <t>cogen</t>
    </r>
    <r>
      <rPr>
        <b/>
        <sz val="10"/>
        <rFont val="Tahoma"/>
        <family val="2"/>
      </rPr>
      <t xml:space="preserve"> :</t>
    </r>
  </si>
  <si>
    <t>Facteurs émissions RW</t>
  </si>
  <si>
    <t>référence électrique</t>
  </si>
  <si>
    <t>référence chaudière gaz</t>
  </si>
  <si>
    <t>référence chaudière mazout</t>
  </si>
  <si>
    <r>
      <t>kW</t>
    </r>
    <r>
      <rPr>
        <vertAlign val="subscript"/>
        <sz val="10"/>
        <rFont val="Tahoma"/>
        <family val="2"/>
      </rPr>
      <t>q</t>
    </r>
  </si>
  <si>
    <r>
      <t>kW</t>
    </r>
    <r>
      <rPr>
        <vertAlign val="subscript"/>
        <sz val="10"/>
        <rFont val="Tahoma"/>
        <family val="2"/>
      </rPr>
      <t>e</t>
    </r>
  </si>
  <si>
    <r>
      <t>kWh</t>
    </r>
    <r>
      <rPr>
        <vertAlign val="subscript"/>
        <sz val="10"/>
        <rFont val="Tahoma"/>
        <family val="2"/>
      </rPr>
      <t>e</t>
    </r>
    <r>
      <rPr>
        <sz val="10"/>
        <rFont val="Tahoma"/>
        <family val="2"/>
      </rPr>
      <t xml:space="preserve"> /an</t>
    </r>
  </si>
  <si>
    <r>
      <t>€/kWh</t>
    </r>
    <r>
      <rPr>
        <vertAlign val="subscript"/>
        <sz val="10"/>
        <rFont val="Tahoma"/>
        <family val="2"/>
      </rPr>
      <t>e</t>
    </r>
  </si>
  <si>
    <r>
      <t xml:space="preserve">Transcription </t>
    </r>
    <r>
      <rPr>
        <u/>
        <sz val="10"/>
        <rFont val="Tahoma"/>
        <family val="2"/>
      </rPr>
      <t>informatique</t>
    </r>
    <r>
      <rPr>
        <sz val="10"/>
        <rFont val="Tahoma"/>
        <family val="2"/>
      </rPr>
      <t xml:space="preserve"> du </t>
    </r>
    <r>
      <rPr>
        <b/>
        <sz val="10"/>
        <rFont val="Tahoma"/>
        <family val="2"/>
      </rPr>
      <t>guide de pertinence</t>
    </r>
    <r>
      <rPr>
        <sz val="10"/>
        <rFont val="Tahoma"/>
        <family val="2"/>
      </rPr>
      <t xml:space="preserve"> </t>
    </r>
    <r>
      <rPr>
        <i/>
        <sz val="10"/>
        <rFont val="Tahoma"/>
        <family val="2"/>
      </rPr>
      <t>"Installer une cogénération dans votre établissement"</t>
    </r>
  </si>
  <si>
    <t>Sources</t>
  </si>
  <si>
    <t>Thermal Profil</t>
  </si>
  <si>
    <t>Region where the cogeneration would be installed</t>
  </si>
  <si>
    <t>Brussels Region</t>
  </si>
  <si>
    <t>Wallonie Region</t>
  </si>
  <si>
    <t>A - Daytime, 5 d / 7 (offices, schools)</t>
  </si>
  <si>
    <t>B - Daytime, 6 d / 7 (business, culture)</t>
  </si>
  <si>
    <t>C - Daytime, 7 d / 7 (sports centers)</t>
  </si>
  <si>
    <t>D - Continue, 7 d / 7 (hospitals, hotels, restaurants)</t>
  </si>
  <si>
    <t>E - Daytime, 5 d / 7 (SME's, laundries, process consumption)</t>
  </si>
  <si>
    <t>F - Daytime, 7 d / 7 (housing)</t>
  </si>
  <si>
    <t>Choice</t>
  </si>
  <si>
    <t>Yes</t>
  </si>
  <si>
    <t>No</t>
  </si>
  <si>
    <t>Natural gas engines</t>
  </si>
  <si>
    <t>Fuel engines</t>
  </si>
  <si>
    <t>Biogas engines</t>
  </si>
  <si>
    <t>Plant oil engines</t>
  </si>
  <si>
    <t>Biofuel engines</t>
  </si>
  <si>
    <t>Gazeification engines</t>
  </si>
  <si>
    <r>
      <t>kW</t>
    </r>
    <r>
      <rPr>
        <vertAlign val="subscript"/>
        <sz val="10"/>
        <rFont val="Tahoma"/>
        <family val="2"/>
      </rPr>
      <t>th</t>
    </r>
  </si>
  <si>
    <r>
      <t xml:space="preserve"> </t>
    </r>
    <r>
      <rPr>
        <b/>
        <sz val="10"/>
        <rFont val="Tahoma"/>
        <family val="2"/>
      </rPr>
      <t>P</t>
    </r>
    <r>
      <rPr>
        <b/>
        <vertAlign val="subscript"/>
        <sz val="10"/>
        <rFont val="Tahoma"/>
        <family val="2"/>
      </rPr>
      <t xml:space="preserve">E cogen </t>
    </r>
    <r>
      <rPr>
        <b/>
        <sz val="10"/>
        <rFont val="Tahoma"/>
        <family val="2"/>
      </rPr>
      <t>:</t>
    </r>
  </si>
  <si>
    <t>Choix réseau gaz naturel</t>
  </si>
  <si>
    <t>A conso</t>
  </si>
  <si>
    <t>A production</t>
  </si>
  <si>
    <t>Consommation et production en fonction des profils thermiques types (%)</t>
  </si>
  <si>
    <t>Résultats</t>
  </si>
  <si>
    <t>Consommation mensuelles de l'établissement</t>
  </si>
  <si>
    <t>Production mensuelle de la cogénération</t>
  </si>
  <si>
    <t>Conso résiduelle</t>
  </si>
  <si>
    <t>B conso</t>
  </si>
  <si>
    <t>B prod</t>
  </si>
  <si>
    <t>C conso</t>
  </si>
  <si>
    <t>C prod</t>
  </si>
  <si>
    <t>D conso</t>
  </si>
  <si>
    <t>D prod</t>
  </si>
  <si>
    <t>E conso</t>
  </si>
  <si>
    <t>E prod</t>
  </si>
  <si>
    <t>F conso</t>
  </si>
  <si>
    <t>F prod</t>
  </si>
  <si>
    <t>Résultats mensuels des besoins et des productions thermiques</t>
  </si>
  <si>
    <r>
      <t xml:space="preserve"> - Dépense</t>
    </r>
    <r>
      <rPr>
        <b/>
        <vertAlign val="subscript"/>
        <sz val="10"/>
        <rFont val="Tahoma"/>
        <family val="2"/>
      </rPr>
      <t>comb</t>
    </r>
    <r>
      <rPr>
        <b/>
        <sz val="10"/>
        <rFont val="Tahoma"/>
        <family val="2"/>
      </rPr>
      <t xml:space="preserve"> - Dépense</t>
    </r>
    <r>
      <rPr>
        <b/>
        <vertAlign val="subscript"/>
        <sz val="10"/>
        <rFont val="Tahoma"/>
        <family val="2"/>
      </rPr>
      <t>entretien</t>
    </r>
    <r>
      <rPr>
        <b/>
        <sz val="10"/>
        <rFont val="Tahoma"/>
        <family val="2"/>
      </rPr>
      <t xml:space="preserve"> - Dépense</t>
    </r>
    <r>
      <rPr>
        <b/>
        <vertAlign val="subscript"/>
        <sz val="10"/>
        <rFont val="Tahoma"/>
        <family val="2"/>
      </rPr>
      <t xml:space="preserve">supp </t>
    </r>
    <r>
      <rPr>
        <b/>
        <sz val="10"/>
        <rFont val="Tahoma"/>
        <family val="2"/>
      </rPr>
      <t>:</t>
    </r>
  </si>
  <si>
    <r>
      <t>Gain annuel</t>
    </r>
    <r>
      <rPr>
        <b/>
        <vertAlign val="subscript"/>
        <sz val="10"/>
        <rFont val="Tahoma"/>
        <family val="2"/>
      </rPr>
      <t xml:space="preserve">net </t>
    </r>
    <r>
      <rPr>
        <b/>
        <sz val="10"/>
        <rFont val="Tahoma"/>
        <family val="2"/>
      </rPr>
      <t>= Gain</t>
    </r>
    <r>
      <rPr>
        <b/>
        <vertAlign val="subscript"/>
        <sz val="10"/>
        <rFont val="Tahoma"/>
        <family val="2"/>
      </rPr>
      <t xml:space="preserve">élec </t>
    </r>
    <r>
      <rPr>
        <b/>
        <sz val="10"/>
        <rFont val="Tahoma"/>
        <family val="2"/>
      </rPr>
      <t>+ Gain</t>
    </r>
    <r>
      <rPr>
        <b/>
        <vertAlign val="subscript"/>
        <sz val="10"/>
        <rFont val="Tahoma"/>
        <family val="2"/>
      </rPr>
      <t>chaleur</t>
    </r>
    <r>
      <rPr>
        <b/>
        <sz val="10"/>
        <rFont val="Tahoma"/>
        <family val="2"/>
      </rPr>
      <t xml:space="preserve"> + Gain</t>
    </r>
    <r>
      <rPr>
        <b/>
        <vertAlign val="subscript"/>
        <sz val="10"/>
        <rFont val="Tahoma"/>
        <family val="2"/>
      </rPr>
      <t>CV</t>
    </r>
    <r>
      <rPr>
        <b/>
        <sz val="10"/>
        <rFont val="Tahoma"/>
        <family val="2"/>
      </rPr>
      <t xml:space="preserve"> + Gain</t>
    </r>
    <r>
      <rPr>
        <b/>
        <vertAlign val="subscript"/>
        <sz val="10"/>
        <rFont val="Tahoma"/>
        <family val="2"/>
      </rPr>
      <t>supp</t>
    </r>
    <r>
      <rPr>
        <b/>
        <sz val="10"/>
        <rFont val="Tahoma"/>
        <family val="2"/>
      </rPr>
      <t xml:space="preserve"> </t>
    </r>
  </si>
  <si>
    <t>Nombre d'heure équivalent à la puissance thermique maximale</t>
  </si>
  <si>
    <t>Part de la puissance thermique maximale assurée par la cogénération</t>
  </si>
  <si>
    <r>
      <t>kWh</t>
    </r>
    <r>
      <rPr>
        <vertAlign val="subscript"/>
        <sz val="10"/>
        <rFont val="Tahoma"/>
        <family val="2"/>
      </rPr>
      <t>prim</t>
    </r>
    <r>
      <rPr>
        <sz val="10"/>
        <rFont val="Tahoma"/>
        <family val="2"/>
      </rPr>
      <t xml:space="preserve"> PCI</t>
    </r>
    <r>
      <rPr>
        <vertAlign val="subscript"/>
        <sz val="10"/>
        <rFont val="Tahoma"/>
        <family val="2"/>
      </rPr>
      <t xml:space="preserve"> </t>
    </r>
    <r>
      <rPr>
        <sz val="10"/>
        <rFont val="Tahoma"/>
        <family val="2"/>
      </rPr>
      <t>/an</t>
    </r>
  </si>
  <si>
    <r>
      <t>kWh</t>
    </r>
    <r>
      <rPr>
        <vertAlign val="subscript"/>
        <sz val="10"/>
        <rFont val="Tahoma"/>
        <family val="2"/>
      </rPr>
      <t>prim</t>
    </r>
    <r>
      <rPr>
        <sz val="10"/>
        <rFont val="Tahoma"/>
        <family val="2"/>
      </rPr>
      <t xml:space="preserve"> PCI</t>
    </r>
    <r>
      <rPr>
        <vertAlign val="subscript"/>
        <sz val="10"/>
        <rFont val="Tahoma"/>
        <family val="2"/>
      </rPr>
      <t xml:space="preserve"> /</t>
    </r>
    <r>
      <rPr>
        <sz val="10"/>
        <rFont val="Tahoma"/>
        <family val="2"/>
      </rPr>
      <t>an</t>
    </r>
  </si>
  <si>
    <r>
      <t>kWh</t>
    </r>
    <r>
      <rPr>
        <vertAlign val="subscript"/>
        <sz val="10"/>
        <rFont val="Tahoma"/>
        <family val="2"/>
      </rPr>
      <t xml:space="preserve">e </t>
    </r>
    <r>
      <rPr>
        <sz val="10"/>
        <rFont val="Tahoma"/>
        <family val="2"/>
      </rPr>
      <t>/an</t>
    </r>
  </si>
  <si>
    <r>
      <t>kWh</t>
    </r>
    <r>
      <rPr>
        <vertAlign val="subscript"/>
        <sz val="10"/>
        <rFont val="Tahoma"/>
        <family val="2"/>
      </rPr>
      <t xml:space="preserve">q </t>
    </r>
    <r>
      <rPr>
        <sz val="10"/>
        <rFont val="Tahoma"/>
        <family val="2"/>
      </rPr>
      <t>/an</t>
    </r>
  </si>
  <si>
    <t>h/an</t>
  </si>
  <si>
    <t>ICEDD 23 juillet 2007</t>
  </si>
  <si>
    <t>Moteurs au biodiesel</t>
  </si>
  <si>
    <t>Puissance thermique</t>
  </si>
  <si>
    <t>Puissance électrique</t>
  </si>
  <si>
    <t>Horeca - Hôtel</t>
  </si>
  <si>
    <t>Horeca - Restaurant</t>
  </si>
  <si>
    <t>Enseignement communautaire</t>
  </si>
  <si>
    <t>Enseignement officiel</t>
  </si>
  <si>
    <t>Enseignement libre ou privé</t>
  </si>
  <si>
    <t>Hôpitaux</t>
  </si>
  <si>
    <t>Piscines</t>
  </si>
  <si>
    <t>Valeur d'entrée pour les établissements</t>
  </si>
  <si>
    <t>m²</t>
  </si>
  <si>
    <t>élèves</t>
  </si>
  <si>
    <t>lits</t>
  </si>
  <si>
    <t>Facteur B</t>
  </si>
  <si>
    <t>Facteur A</t>
  </si>
  <si>
    <t>Calcul du prix de l'électricité</t>
  </si>
  <si>
    <t>m</t>
  </si>
  <si>
    <t>b</t>
  </si>
  <si>
    <t>x (kWh)</t>
  </si>
  <si>
    <t>y (cEUR)</t>
  </si>
  <si>
    <t>y=m*ln(x)+b</t>
  </si>
  <si>
    <t>Calcul du prix du gaz - PCI</t>
  </si>
  <si>
    <t>Taille de l'établissement</t>
  </si>
  <si>
    <t>Stockage de chaleur</t>
  </si>
  <si>
    <t>Stockage de chaleur équivalent 1 heure</t>
  </si>
  <si>
    <t>Stockage de chaleur équivalent 1/2 heure</t>
  </si>
  <si>
    <t>Sans stockage</t>
  </si>
  <si>
    <t>Stockage 1/2h</t>
  </si>
  <si>
    <t>Stockage 1h</t>
  </si>
  <si>
    <t>Estimation</t>
  </si>
  <si>
    <t>Factures</t>
  </si>
  <si>
    <t>Consommation annuelle en électricité</t>
  </si>
  <si>
    <t xml:space="preserve">Facture électrique annuelle totale </t>
  </si>
  <si>
    <t>Pas de stockage de chaleur</t>
  </si>
  <si>
    <t>A prod 0.5h</t>
  </si>
  <si>
    <t>A prod 1h</t>
  </si>
  <si>
    <t>B prod 0.5h</t>
  </si>
  <si>
    <t>B prod 1h</t>
  </si>
  <si>
    <t>C prod 0.5h</t>
  </si>
  <si>
    <t>C prod 1h</t>
  </si>
  <si>
    <t>E prod 0.5h</t>
  </si>
  <si>
    <t>E prod 1h</t>
  </si>
  <si>
    <t>F prod 0.5h</t>
  </si>
  <si>
    <t>F prod 1h</t>
  </si>
  <si>
    <t>Facture combustible annuelle totale</t>
  </si>
  <si>
    <t>Français</t>
  </si>
  <si>
    <t>Néerlandais</t>
  </si>
  <si>
    <t>Taux d'évolution</t>
  </si>
  <si>
    <t>%/an</t>
  </si>
  <si>
    <t>Taux de rentabilité interne du projet</t>
  </si>
  <si>
    <t>TRI :</t>
  </si>
  <si>
    <t>Taux d'actualisation</t>
  </si>
  <si>
    <t>Temps de retour "élaboré"</t>
  </si>
  <si>
    <t>TRE :</t>
  </si>
  <si>
    <t>Tableau des gains</t>
  </si>
  <si>
    <t>Gain électrique (€/an)</t>
  </si>
  <si>
    <t>Durée de vie économique</t>
  </si>
  <si>
    <t>Années</t>
  </si>
  <si>
    <t>Gain chaleur (€/an)</t>
  </si>
  <si>
    <t>Gain certificats verts (€/an)</t>
  </si>
  <si>
    <t>Dépense combustible (€/an)</t>
  </si>
  <si>
    <t>Dépense entretien (€/an)</t>
  </si>
  <si>
    <t>Gain annuel (€/an)</t>
  </si>
  <si>
    <t>Valeur actualisée nette des gains</t>
  </si>
  <si>
    <t xml:space="preserve">VAN : </t>
  </si>
  <si>
    <t>Volume du ballon de stockage</t>
  </si>
  <si>
    <r>
      <t>m</t>
    </r>
    <r>
      <rPr>
        <vertAlign val="superscript"/>
        <sz val="10"/>
        <rFont val="Tahoma"/>
        <family val="2"/>
      </rPr>
      <t>3</t>
    </r>
  </si>
  <si>
    <t>=</t>
  </si>
  <si>
    <t>G - Profil spécifique pour les hôtels bruxellois</t>
  </si>
  <si>
    <t>G</t>
  </si>
  <si>
    <t>G conso</t>
  </si>
  <si>
    <t>G prod</t>
  </si>
  <si>
    <t>G prod 0.5h</t>
  </si>
  <si>
    <t>G prod 1h</t>
  </si>
  <si>
    <t>Profil G - Profil spécifique pour les hôtels bruxellois</t>
  </si>
  <si>
    <t>Logements collectifs</t>
  </si>
  <si>
    <t>m² de plan d'eau</t>
  </si>
  <si>
    <t>logements &lt; 54 m2</t>
  </si>
  <si>
    <t>janvier</t>
  </si>
  <si>
    <t>février</t>
  </si>
  <si>
    <t>mars</t>
  </si>
  <si>
    <t>avril</t>
  </si>
  <si>
    <t>mai</t>
  </si>
  <si>
    <t>juin</t>
  </si>
  <si>
    <t>juillet</t>
  </si>
  <si>
    <t>août</t>
  </si>
  <si>
    <t>septembre</t>
  </si>
  <si>
    <t>octobre</t>
  </si>
  <si>
    <t>novembre</t>
  </si>
  <si>
    <t>décembre</t>
  </si>
  <si>
    <r>
      <t>kWh</t>
    </r>
    <r>
      <rPr>
        <vertAlign val="subscript"/>
        <sz val="10"/>
        <rFont val="Tahoma"/>
        <family val="2"/>
      </rPr>
      <t>primaire</t>
    </r>
  </si>
  <si>
    <t>Gain énergie primaire :</t>
  </si>
  <si>
    <t>Facteur conversion PEB</t>
  </si>
  <si>
    <t xml:space="preserve">Combustible </t>
  </si>
  <si>
    <t>Electricité</t>
  </si>
  <si>
    <t>Gain en énergie primaire apporté par la cogénération</t>
  </si>
  <si>
    <t>Electricité cogen</t>
  </si>
  <si>
    <t xml:space="preserve">SYNTHESE </t>
  </si>
  <si>
    <t>Répartis selon un profil type :</t>
  </si>
  <si>
    <t>Vu les besoins thermiques annuels de :</t>
  </si>
  <si>
    <t>Vu les besoins électriques annuels de :</t>
  </si>
  <si>
    <r>
      <t>kWh</t>
    </r>
    <r>
      <rPr>
        <vertAlign val="subscript"/>
        <sz val="10"/>
        <rFont val="Tahoma"/>
        <family val="2"/>
      </rPr>
      <t>th</t>
    </r>
    <r>
      <rPr>
        <sz val="10"/>
        <rFont val="Tahoma"/>
        <family val="2"/>
      </rPr>
      <t>/an</t>
    </r>
  </si>
  <si>
    <r>
      <t>kWh</t>
    </r>
    <r>
      <rPr>
        <vertAlign val="subscript"/>
        <sz val="10"/>
        <rFont val="Tahoma"/>
        <family val="2"/>
      </rPr>
      <t>é</t>
    </r>
    <r>
      <rPr>
        <sz val="10"/>
        <rFont val="Tahoma"/>
        <family val="2"/>
      </rPr>
      <t>/an</t>
    </r>
  </si>
  <si>
    <t xml:space="preserve">Il serait possible d'installer une cogénération de type : </t>
  </si>
  <si>
    <t>dont la puissance thermique est de :</t>
  </si>
  <si>
    <t>dont la puissance électrique est de :</t>
  </si>
  <si>
    <t>Cette unité de cogénération pourra fonctionner durant :</t>
  </si>
  <si>
    <t>Pour produire de la chaleur :</t>
  </si>
  <si>
    <t>et pour produire de l'électricité :</t>
  </si>
  <si>
    <t>La cogénération permettra un gain annuel de :</t>
  </si>
  <si>
    <t>dont les certificats verts représentent :</t>
  </si>
  <si>
    <r>
      <t>kW</t>
    </r>
    <r>
      <rPr>
        <vertAlign val="subscript"/>
        <sz val="10"/>
        <rFont val="Tahoma"/>
        <family val="2"/>
      </rPr>
      <t>é</t>
    </r>
  </si>
  <si>
    <t>heures/an</t>
  </si>
  <si>
    <r>
      <t>pour les émissions de CO</t>
    </r>
    <r>
      <rPr>
        <vertAlign val="subscript"/>
        <sz val="10"/>
        <rFont val="Tahoma"/>
        <family val="2"/>
      </rPr>
      <t>2</t>
    </r>
    <r>
      <rPr>
        <sz val="10"/>
        <rFont val="Tahoma"/>
        <family val="2"/>
      </rPr>
      <t xml:space="preserve"> évitées qui se chiffrent à :</t>
    </r>
  </si>
  <si>
    <t>Le nombre de certificats verts correspondant est de :</t>
  </si>
  <si>
    <t>certificats verts/an</t>
  </si>
  <si>
    <t>et est rentabilisé en :</t>
  </si>
  <si>
    <t>Cela correspond à investir à un taux annuel de :</t>
  </si>
  <si>
    <t>€ HTVA</t>
  </si>
  <si>
    <t>En tenant compte de l'évolution des gains, la rentabilité est de :</t>
  </si>
  <si>
    <t>L'investissement de la cogénération (subsides déduits) est de :</t>
  </si>
  <si>
    <t>La cogénération n'est pas couplée à un stockage de chaleur :</t>
  </si>
  <si>
    <t>La cogénération est couplée à un stockage de chaleur de :</t>
  </si>
  <si>
    <r>
      <t>Cons</t>
    </r>
    <r>
      <rPr>
        <b/>
        <vertAlign val="subscript"/>
        <sz val="10"/>
        <rFont val="Tahoma"/>
        <family val="2"/>
      </rPr>
      <t>cogen</t>
    </r>
    <r>
      <rPr>
        <b/>
        <sz val="10"/>
        <rFont val="Tahoma"/>
        <family val="2"/>
      </rPr>
      <t xml:space="preserve"> = E</t>
    </r>
    <r>
      <rPr>
        <b/>
        <vertAlign val="subscript"/>
        <sz val="10"/>
        <rFont val="Tahoma"/>
        <family val="2"/>
      </rPr>
      <t xml:space="preserve">cogen </t>
    </r>
    <r>
      <rPr>
        <b/>
        <sz val="10"/>
        <rFont val="Tahoma"/>
        <family val="2"/>
      </rPr>
      <t>/ h</t>
    </r>
    <r>
      <rPr>
        <b/>
        <vertAlign val="subscript"/>
        <sz val="10"/>
        <rFont val="Tahoma"/>
        <family val="2"/>
      </rPr>
      <t>é</t>
    </r>
    <r>
      <rPr>
        <b/>
        <sz val="10"/>
        <rFont val="Tahoma"/>
        <family val="2"/>
      </rPr>
      <t xml:space="preserve"> :</t>
    </r>
  </si>
  <si>
    <r>
      <t xml:space="preserve">BNeC = </t>
    </r>
    <r>
      <rPr>
        <b/>
        <sz val="10"/>
        <rFont val="Symbol"/>
        <family val="1"/>
        <charset val="2"/>
      </rPr>
      <t>h</t>
    </r>
    <r>
      <rPr>
        <b/>
        <vertAlign val="subscript"/>
        <sz val="10"/>
        <rFont val="Tahoma"/>
        <family val="2"/>
      </rPr>
      <t>chaufferie</t>
    </r>
    <r>
      <rPr>
        <b/>
        <sz val="10"/>
        <rFont val="Tahoma"/>
        <family val="2"/>
      </rPr>
      <t xml:space="preserve"> x (Q - Q</t>
    </r>
    <r>
      <rPr>
        <b/>
        <vertAlign val="subscript"/>
        <sz val="10"/>
        <rFont val="Tahoma"/>
        <family val="2"/>
      </rPr>
      <t>non cogen</t>
    </r>
    <r>
      <rPr>
        <b/>
        <sz val="10"/>
        <rFont val="Tahoma"/>
        <family val="2"/>
      </rPr>
      <t xml:space="preserve"> - URE + DQ) :</t>
    </r>
  </si>
  <si>
    <r>
      <t xml:space="preserve"> </t>
    </r>
    <r>
      <rPr>
        <b/>
        <sz val="10"/>
        <rFont val="Symbol"/>
        <family val="1"/>
        <charset val="2"/>
      </rPr>
      <t>h</t>
    </r>
    <r>
      <rPr>
        <b/>
        <vertAlign val="subscript"/>
        <sz val="10"/>
        <rFont val="Tahoma"/>
        <family val="2"/>
      </rPr>
      <t>e</t>
    </r>
    <r>
      <rPr>
        <sz val="10"/>
        <rFont val="Tahoma"/>
        <family val="2"/>
      </rPr>
      <t xml:space="preserve"> </t>
    </r>
    <r>
      <rPr>
        <b/>
        <sz val="10"/>
        <rFont val="Tahoma"/>
        <family val="2"/>
      </rPr>
      <t>:</t>
    </r>
  </si>
  <si>
    <t>D - Continue, 7 j sur 7 (soins, horeca hors hôtels bruxellois)</t>
  </si>
  <si>
    <t>Par défaut</t>
  </si>
  <si>
    <t>Représentativité</t>
  </si>
  <si>
    <t>Année</t>
  </si>
  <si>
    <t>januari</t>
  </si>
  <si>
    <t>februari</t>
  </si>
  <si>
    <t>maart</t>
  </si>
  <si>
    <t>april</t>
  </si>
  <si>
    <t>mei</t>
  </si>
  <si>
    <t>juni</t>
  </si>
  <si>
    <t>juli</t>
  </si>
  <si>
    <t>augustus</t>
  </si>
  <si>
    <t>september</t>
  </si>
  <si>
    <t>november</t>
  </si>
  <si>
    <t>december</t>
  </si>
  <si>
    <t>oktober</t>
  </si>
  <si>
    <t>Commerce de détail hors supermarchés(entre 400 et 2 500 m²)</t>
  </si>
  <si>
    <t>Commerce de détail hors supermarchés(&gt; 2 500 m²)</t>
  </si>
  <si>
    <t>Hypermarchés (&gt; 2 500 m²)</t>
  </si>
  <si>
    <t>Bureau privé</t>
  </si>
  <si>
    <t>Bureau public</t>
  </si>
  <si>
    <t>Homes (maisons de repos et de soins)</t>
  </si>
  <si>
    <t>Complexes sportifs</t>
  </si>
  <si>
    <t>Centres Culturels</t>
  </si>
  <si>
    <t>Consommation combustible : bilan RBC 2005</t>
  </si>
  <si>
    <t>Consommation en élec : bilan RBC 2005</t>
  </si>
  <si>
    <t>Type d'établissement ? RBC</t>
  </si>
  <si>
    <r>
      <t xml:space="preserve">(voir annexe)   </t>
    </r>
    <r>
      <rPr>
        <b/>
        <sz val="14"/>
        <rFont val="Tahoma"/>
        <family val="2"/>
      </rPr>
      <t>t</t>
    </r>
    <r>
      <rPr>
        <b/>
        <vertAlign val="subscript"/>
        <sz val="10"/>
        <rFont val="Tahoma"/>
        <family val="2"/>
      </rPr>
      <t>CO2</t>
    </r>
    <r>
      <rPr>
        <b/>
        <sz val="10"/>
        <rFont val="Tahoma"/>
        <family val="2"/>
      </rPr>
      <t xml:space="preserve"> % :</t>
    </r>
  </si>
  <si>
    <t>Habitation individuelle</t>
  </si>
  <si>
    <t>Résidentiel commun</t>
  </si>
  <si>
    <t>Bureaux et services</t>
  </si>
  <si>
    <t>Enseignement</t>
  </si>
  <si>
    <t>Soins de santé</t>
  </si>
  <si>
    <t>culture</t>
  </si>
  <si>
    <t>Restaurant / café</t>
  </si>
  <si>
    <t xml:space="preserve">Commerce </t>
  </si>
  <si>
    <t>sport</t>
  </si>
  <si>
    <t>Autre affectation</t>
  </si>
  <si>
    <t>Partie commune</t>
  </si>
  <si>
    <r>
      <t xml:space="preserve">Hôpitaux </t>
    </r>
    <r>
      <rPr>
        <i/>
        <sz val="10"/>
        <rFont val="Arial"/>
        <family val="2"/>
      </rPr>
      <t>(soins de santé)</t>
    </r>
  </si>
  <si>
    <r>
      <t xml:space="preserve">Horeca - Hôtel </t>
    </r>
    <r>
      <rPr>
        <i/>
        <sz val="10"/>
        <rFont val="Arial"/>
        <family val="2"/>
      </rPr>
      <t>(Résidentiel commun)</t>
    </r>
  </si>
  <si>
    <r>
      <t xml:space="preserve">Supermarchés </t>
    </r>
    <r>
      <rPr>
        <i/>
        <sz val="10"/>
        <rFont val="Arial"/>
        <family val="2"/>
      </rPr>
      <t>(commerce)</t>
    </r>
  </si>
  <si>
    <r>
      <t>Commerce</t>
    </r>
    <r>
      <rPr>
        <sz val="10"/>
        <rFont val="Arial"/>
        <family val="2"/>
      </rPr>
      <t xml:space="preserve"> de gros et de détail hors supermarchés (&gt; 5 000 m²)</t>
    </r>
  </si>
  <si>
    <r>
      <t>Bureau</t>
    </r>
    <r>
      <rPr>
        <sz val="10"/>
        <rFont val="Arial"/>
        <family val="2"/>
      </rPr>
      <t xml:space="preserve"> privé (&gt; 10 000 m²)</t>
    </r>
  </si>
  <si>
    <r>
      <t>Bureau</t>
    </r>
    <r>
      <rPr>
        <sz val="10"/>
        <rFont val="Arial"/>
        <family val="2"/>
      </rPr>
      <t xml:space="preserve"> public (&gt;10 000 m²)</t>
    </r>
  </si>
  <si>
    <r>
      <t xml:space="preserve">Horeca - </t>
    </r>
    <r>
      <rPr>
        <i/>
        <sz val="10"/>
        <rFont val="Arial"/>
        <family val="2"/>
      </rPr>
      <t>Restaurant</t>
    </r>
  </si>
  <si>
    <r>
      <t>Enseignement</t>
    </r>
    <r>
      <rPr>
        <sz val="10"/>
        <rFont val="Arial"/>
        <family val="2"/>
      </rPr>
      <t xml:space="preserve"> communautaire</t>
    </r>
  </si>
  <si>
    <r>
      <t>Enseignement</t>
    </r>
    <r>
      <rPr>
        <sz val="10"/>
        <rFont val="Arial"/>
        <family val="2"/>
      </rPr>
      <t xml:space="preserve"> officiel</t>
    </r>
  </si>
  <si>
    <r>
      <t>Enseignement</t>
    </r>
    <r>
      <rPr>
        <sz val="10"/>
        <rFont val="Arial"/>
        <family val="2"/>
      </rPr>
      <t xml:space="preserve"> libre ou privé</t>
    </r>
  </si>
  <si>
    <r>
      <t>Piscines</t>
    </r>
    <r>
      <rPr>
        <i/>
        <sz val="10"/>
        <rFont val="Arial"/>
        <family val="2"/>
      </rPr>
      <t xml:space="preserve"> (sports)</t>
    </r>
  </si>
  <si>
    <r>
      <t xml:space="preserve">Centres </t>
    </r>
    <r>
      <rPr>
        <i/>
        <sz val="10"/>
        <color indexed="8"/>
        <rFont val="Arial"/>
        <family val="2"/>
      </rPr>
      <t>Culturels</t>
    </r>
  </si>
  <si>
    <r>
      <t xml:space="preserve">Complexes </t>
    </r>
    <r>
      <rPr>
        <i/>
        <sz val="10"/>
        <color indexed="8"/>
        <rFont val="Arial"/>
        <family val="2"/>
      </rPr>
      <t>sportifs</t>
    </r>
  </si>
  <si>
    <t>Type d'établissement (affectations PEB)</t>
  </si>
  <si>
    <t xml:space="preserve"> PEB (moyenne 1988-2007)</t>
  </si>
  <si>
    <t>- les résultats sont repris dans les cases blanches; les formules qu'elles contiennent peuvent être modifiées.</t>
  </si>
  <si>
    <r>
      <t>Homes, maisons de repos  (</t>
    </r>
    <r>
      <rPr>
        <i/>
        <sz val="10"/>
        <rFont val="Arial"/>
        <family val="2"/>
      </rPr>
      <t>Résidentiel commun</t>
    </r>
    <r>
      <rPr>
        <sz val="10"/>
        <rFont val="Arial"/>
        <family val="2"/>
      </rPr>
      <t>)</t>
    </r>
  </si>
  <si>
    <t>- Encodez des variantes au scénario d'évolution des prix, données facultatives</t>
  </si>
  <si>
    <r>
      <t>Bureau</t>
    </r>
    <r>
      <rPr>
        <sz val="10"/>
        <rFont val="Arial"/>
        <family val="2"/>
      </rPr>
      <t xml:space="preserve"> public (&lt;ou=10 000 m²)</t>
    </r>
  </si>
  <si>
    <r>
      <t>Commerce</t>
    </r>
    <r>
      <rPr>
        <sz val="10"/>
        <rFont val="Arial"/>
        <family val="2"/>
      </rPr>
      <t xml:space="preserve"> de gros et de détail hors supermarchés (&lt;ou= 5 000 m²)</t>
    </r>
  </si>
  <si>
    <r>
      <t>Bureau</t>
    </r>
    <r>
      <rPr>
        <sz val="10"/>
        <rFont val="Arial"/>
        <family val="2"/>
      </rPr>
      <t xml:space="preserve"> privé (&lt;ou=10 000 m²)</t>
    </r>
  </si>
  <si>
    <t>source : Etude "suivi et analyse évolution prix élec et gaz en RW" - ICEDD pour la CWaPE - juin 2004 à mars 2009</t>
  </si>
  <si>
    <t>Valeurs mars 2009 - Graphique page 4 du rapport</t>
  </si>
  <si>
    <t>D prod 0.5h</t>
  </si>
  <si>
    <t>D prod 1h</t>
  </si>
  <si>
    <t>← Introduire le coût estimé du combustible</t>
  </si>
  <si>
    <t>Coefficient multiplicateur du nombre de CV</t>
  </si>
  <si>
    <r>
      <t xml:space="preserve">   </t>
    </r>
    <r>
      <rPr>
        <b/>
        <sz val="10"/>
        <rFont val="Tahoma"/>
        <family val="2"/>
      </rPr>
      <t>k</t>
    </r>
    <r>
      <rPr>
        <b/>
        <vertAlign val="subscript"/>
        <sz val="10"/>
        <rFont val="Tahoma"/>
        <family val="2"/>
      </rPr>
      <t xml:space="preserve">mult </t>
    </r>
    <r>
      <rPr>
        <b/>
        <sz val="10"/>
        <rFont val="Tahoma"/>
        <family val="2"/>
      </rPr>
      <t>:</t>
    </r>
  </si>
  <si>
    <t>Montant des aides financières supplémentaires éventuelles</t>
  </si>
  <si>
    <t>Pourcentage d'aides financières</t>
  </si>
  <si>
    <r>
      <t xml:space="preserve">        E</t>
    </r>
    <r>
      <rPr>
        <b/>
        <vertAlign val="subscript"/>
        <sz val="10"/>
        <rFont val="Tahoma"/>
        <family val="2"/>
      </rPr>
      <t>auto-cons</t>
    </r>
    <r>
      <rPr>
        <b/>
        <sz val="10"/>
        <rFont val="Tahoma"/>
        <family val="2"/>
      </rPr>
      <t xml:space="preserve"> :</t>
    </r>
  </si>
  <si>
    <t>Quantité d'électricité nécessairement revendue sur le réseau</t>
  </si>
  <si>
    <r>
      <t xml:space="preserve">        E</t>
    </r>
    <r>
      <rPr>
        <b/>
        <vertAlign val="subscript"/>
        <sz val="10"/>
        <rFont val="Tahoma"/>
        <family val="2"/>
      </rPr>
      <t>revente</t>
    </r>
    <r>
      <rPr>
        <b/>
        <sz val="10"/>
        <rFont val="Tahoma"/>
        <family val="2"/>
      </rPr>
      <t xml:space="preserve"> :</t>
    </r>
  </si>
  <si>
    <t>Prix de revente de l'électricité sur le réseau</t>
  </si>
  <si>
    <r>
      <t>Prix</t>
    </r>
    <r>
      <rPr>
        <b/>
        <vertAlign val="subscript"/>
        <sz val="10"/>
        <rFont val="Tahoma"/>
        <family val="2"/>
      </rPr>
      <t>revente</t>
    </r>
    <r>
      <rPr>
        <b/>
        <sz val="10"/>
        <rFont val="Tahoma"/>
        <family val="2"/>
      </rPr>
      <t xml:space="preserve"> </t>
    </r>
    <r>
      <rPr>
        <b/>
        <vertAlign val="subscript"/>
        <sz val="10"/>
        <rFont val="Tahoma"/>
        <family val="2"/>
      </rPr>
      <t xml:space="preserve"> </t>
    </r>
    <r>
      <rPr>
        <b/>
        <sz val="10"/>
        <rFont val="Tahoma"/>
        <family val="2"/>
      </rPr>
      <t>:</t>
    </r>
    <r>
      <rPr>
        <b/>
        <vertAlign val="subscript"/>
        <sz val="10"/>
        <rFont val="Tahoma"/>
        <family val="2"/>
      </rPr>
      <t xml:space="preserve"> </t>
    </r>
  </si>
  <si>
    <r>
      <t xml:space="preserve">                            Gain</t>
    </r>
    <r>
      <rPr>
        <b/>
        <vertAlign val="subscript"/>
        <sz val="10"/>
        <rFont val="Tahoma"/>
        <family val="2"/>
      </rPr>
      <t xml:space="preserve">élec </t>
    </r>
    <r>
      <rPr>
        <b/>
        <sz val="10"/>
        <rFont val="Tahoma"/>
        <family val="2"/>
      </rPr>
      <t>= E</t>
    </r>
    <r>
      <rPr>
        <b/>
        <vertAlign val="subscript"/>
        <sz val="10"/>
        <rFont val="Tahoma"/>
        <family val="2"/>
      </rPr>
      <t>auto-cons</t>
    </r>
    <r>
      <rPr>
        <b/>
        <sz val="10"/>
        <rFont val="Tahoma"/>
        <family val="2"/>
      </rPr>
      <t xml:space="preserve"> x Prix</t>
    </r>
    <r>
      <rPr>
        <b/>
        <vertAlign val="subscript"/>
        <sz val="10"/>
        <rFont val="Tahoma"/>
        <family val="2"/>
      </rPr>
      <t xml:space="preserve">moyen achat  </t>
    </r>
    <r>
      <rPr>
        <b/>
        <sz val="10"/>
        <rFont val="Tahoma"/>
        <family val="2"/>
      </rPr>
      <t>+ E</t>
    </r>
    <r>
      <rPr>
        <b/>
        <vertAlign val="subscript"/>
        <sz val="10"/>
        <rFont val="Tahoma"/>
        <family val="2"/>
      </rPr>
      <t xml:space="preserve">revente </t>
    </r>
    <r>
      <rPr>
        <b/>
        <sz val="10"/>
        <rFont val="Tahoma"/>
        <family val="2"/>
      </rPr>
      <t>x Prix</t>
    </r>
    <r>
      <rPr>
        <b/>
        <vertAlign val="subscript"/>
        <sz val="10"/>
        <rFont val="Tahoma"/>
        <family val="2"/>
      </rPr>
      <t xml:space="preserve">revente </t>
    </r>
    <r>
      <rPr>
        <b/>
        <sz val="10"/>
        <rFont val="Tahoma"/>
        <family val="2"/>
      </rPr>
      <t>:</t>
    </r>
  </si>
  <si>
    <r>
      <t xml:space="preserve">ATTENTION : </t>
    </r>
    <r>
      <rPr>
        <sz val="9"/>
        <rFont val="Tahoma"/>
        <family val="2"/>
      </rPr>
      <t>L'estimation de la consommation correspond à une moyenne sur des bâtiments existants (anciens) et il est donc fortement conseillé d'introduire ses propres données dans la cellule bleue.</t>
    </r>
    <r>
      <rPr>
        <b/>
        <sz val="9"/>
        <rFont val="Tahoma"/>
        <family val="2"/>
      </rPr>
      <t xml:space="preserve">
Nouvelle construction ou rénovation lourde :  </t>
    </r>
    <r>
      <rPr>
        <sz val="9"/>
        <rFont val="Tahoma"/>
        <family val="2"/>
      </rPr>
      <t xml:space="preserve">Introduisez vos besoins thermiques calculés en tenant compte d'un </t>
    </r>
    <r>
      <rPr>
        <b/>
        <sz val="9"/>
        <rFont val="Tahoma"/>
        <family val="2"/>
      </rPr>
      <t>η</t>
    </r>
    <r>
      <rPr>
        <b/>
        <vertAlign val="subscript"/>
        <sz val="9"/>
        <rFont val="Tahoma"/>
        <family val="2"/>
      </rPr>
      <t>chaufferie</t>
    </r>
    <r>
      <rPr>
        <sz val="9"/>
        <rFont val="Tahoma"/>
        <family val="2"/>
      </rPr>
      <t xml:space="preserve"> de 100%</t>
    </r>
  </si>
  <si>
    <t>Rendement thermique saisonnier de l'installation existante</t>
  </si>
  <si>
    <t>Source: ICEDD, Etude pour le compte de l'IBGE "Bilan énergétique de la région bruxelloise"</t>
  </si>
  <si>
    <t>Consommation combustible RBC</t>
  </si>
  <si>
    <t>Consommation en élec RBC</t>
  </si>
  <si>
    <t>Consommation en élec RW</t>
  </si>
  <si>
    <t>Source: ICEDD, Etude pour le compte de la DGTRE "Bilan énergétique de la région walonne "</t>
  </si>
  <si>
    <t>Consommation combustible RW</t>
  </si>
  <si>
    <t>Investissement (si P &gt; 50 kWél)</t>
  </si>
  <si>
    <t>Entretien ( si P &gt; 50 kWél)</t>
  </si>
  <si>
    <t>x</t>
  </si>
  <si>
    <t>X</t>
  </si>
  <si>
    <t>Entretien (si P =&lt; 50 kWél)</t>
  </si>
  <si>
    <t>Investissement (si P =&lt; 50 kWél)</t>
  </si>
  <si>
    <r>
      <t xml:space="preserve">   </t>
    </r>
    <r>
      <rPr>
        <b/>
        <sz val="10"/>
        <rFont val="Tahoma"/>
        <family val="2"/>
      </rPr>
      <t>k</t>
    </r>
    <r>
      <rPr>
        <b/>
        <vertAlign val="subscript"/>
        <sz val="10"/>
        <rFont val="Tahoma"/>
        <family val="2"/>
      </rPr>
      <t xml:space="preserve">éco </t>
    </r>
    <r>
      <rPr>
        <b/>
        <sz val="10"/>
        <rFont val="Tahoma"/>
        <family val="2"/>
      </rPr>
      <t>:</t>
    </r>
  </si>
  <si>
    <t>Coefficient kECO</t>
  </si>
  <si>
    <t>Fossile</t>
  </si>
  <si>
    <t>kéco</t>
  </si>
  <si>
    <t>Filière</t>
  </si>
  <si>
    <t>Biogaz CET/TRI/STEP</t>
  </si>
  <si>
    <t>Biogaz AUTRES</t>
  </si>
  <si>
    <t>]5.000 ‐ [ *</t>
  </si>
  <si>
    <t>]200 ‐ 600]</t>
  </si>
  <si>
    <t>]600 ‐ 1.500]</t>
  </si>
  <si>
    <t>]1.500 ‐ 5.000]</t>
  </si>
  <si>
    <t>MAX ! Calculé au cas par cas</t>
  </si>
  <si>
    <t>Biocombustible liquide</t>
  </si>
  <si>
    <t>]0 ‐ 100]</t>
  </si>
  <si>
    <t>]100 ‐ 500]</t>
  </si>
  <si>
    <t>]500 ‐ 1.000]</t>
  </si>
  <si>
    <t>]1.000 ‐ 5.000]</t>
  </si>
  <si>
    <t>Biocombustible solide</t>
  </si>
  <si>
    <t>]0 ‐ 500]</t>
  </si>
  <si>
    <t>Graisse animale</t>
  </si>
  <si>
    <t>Applicables en Région Wallonne</t>
  </si>
  <si>
    <t>Cfr : www.cwape.be</t>
  </si>
  <si>
    <t>Non considérés dans cogencalc</t>
  </si>
  <si>
    <t>POUR INFORMATION</t>
  </si>
  <si>
    <t>]10 ‐ 200]</t>
  </si>
  <si>
    <t>]0 ‐ 10]</t>
  </si>
  <si>
    <t>Quantité d'électricité auto-consommée</t>
  </si>
  <si>
    <r>
      <t xml:space="preserve">Calcul </t>
    </r>
    <r>
      <rPr>
        <b/>
        <i/>
        <sz val="14"/>
        <color indexed="10"/>
        <rFont val="Tahoma"/>
        <family val="2"/>
      </rPr>
      <t>approximatif</t>
    </r>
    <r>
      <rPr>
        <i/>
        <vertAlign val="subscript"/>
        <sz val="14"/>
        <color indexed="10"/>
        <rFont val="Tahoma"/>
        <family val="2"/>
      </rPr>
      <t>(+/- 30%)</t>
    </r>
    <r>
      <rPr>
        <i/>
        <sz val="14"/>
        <color indexed="10"/>
        <rFont val="Tahoma"/>
        <family val="2"/>
      </rPr>
      <t xml:space="preserve"> </t>
    </r>
    <r>
      <rPr>
        <b/>
        <sz val="14"/>
        <color indexed="10"/>
        <rFont val="Tahoma"/>
        <family val="2"/>
      </rPr>
      <t>de la rentabilité d'une cogénération</t>
    </r>
  </si>
  <si>
    <r>
      <t xml:space="preserve">Part de l'électricité </t>
    </r>
    <r>
      <rPr>
        <b/>
        <sz val="10"/>
        <rFont val="Tahoma"/>
        <family val="2"/>
      </rPr>
      <t>produite</t>
    </r>
    <r>
      <rPr>
        <sz val="10"/>
        <rFont val="Tahoma"/>
        <family val="2"/>
      </rPr>
      <t xml:space="preserve"> auto-consommée</t>
    </r>
  </si>
  <si>
    <t>en %</t>
  </si>
  <si>
    <t>Projet 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</si>
</sst>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 #,##0.00_)\ _F_B_ ;_ * \(#,##0.00\)\ _F_B_ ;_ * &quot;-&quot;??_)\ _F_B_ ;_ @_ "/>
    <numFmt numFmtId="165" formatCode="0.0"/>
    <numFmt numFmtId="166" formatCode="0.000"/>
    <numFmt numFmtId="167" formatCode="0.00000"/>
    <numFmt numFmtId="168" formatCode="0.0000"/>
    <numFmt numFmtId="169" formatCode="#,##0.0"/>
    <numFmt numFmtId="170" formatCode="#,##0.000"/>
    <numFmt numFmtId="171" formatCode="0.0%"/>
  </numFmts>
  <fonts count="64" x14ac:knownFonts="1">
    <font>
      <sz val="10"/>
      <name val="Arial"/>
    </font>
    <font>
      <sz val="10"/>
      <name val="Arial"/>
      <family val="2"/>
    </font>
    <font>
      <b/>
      <sz val="10"/>
      <name val="Arial"/>
      <family val="2"/>
    </font>
    <font>
      <sz val="10"/>
      <name val="Arial"/>
      <family val="2"/>
    </font>
    <font>
      <i/>
      <sz val="10"/>
      <name val="Arial"/>
      <family val="2"/>
    </font>
    <font>
      <u/>
      <sz val="10"/>
      <color indexed="12"/>
      <name val="Arial"/>
      <family val="2"/>
    </font>
    <font>
      <b/>
      <i/>
      <sz val="10"/>
      <name val="Arial"/>
      <family val="2"/>
    </font>
    <font>
      <sz val="8"/>
      <color indexed="81"/>
      <name val="Tahoma"/>
      <family val="2"/>
    </font>
    <font>
      <b/>
      <sz val="8"/>
      <color indexed="81"/>
      <name val="Tahoma"/>
      <family val="2"/>
    </font>
    <font>
      <sz val="10"/>
      <name val="Tahoma"/>
      <family val="2"/>
    </font>
    <font>
      <b/>
      <sz val="10"/>
      <name val="Tahoma"/>
      <family val="2"/>
    </font>
    <font>
      <b/>
      <sz val="16"/>
      <color indexed="12"/>
      <name val="Tahoma"/>
      <family val="2"/>
    </font>
    <font>
      <b/>
      <i/>
      <sz val="10"/>
      <color indexed="10"/>
      <name val="Tahoma"/>
      <family val="2"/>
    </font>
    <font>
      <b/>
      <sz val="18"/>
      <name val="Tahoma"/>
      <family val="2"/>
    </font>
    <font>
      <b/>
      <sz val="10"/>
      <color indexed="12"/>
      <name val="Tahoma"/>
      <family val="2"/>
    </font>
    <font>
      <b/>
      <sz val="10"/>
      <color indexed="10"/>
      <name val="Tahoma"/>
      <family val="2"/>
    </font>
    <font>
      <b/>
      <i/>
      <sz val="12"/>
      <name val="Tahoma"/>
      <family val="2"/>
    </font>
    <font>
      <i/>
      <sz val="10"/>
      <name val="Tahoma"/>
      <family val="2"/>
    </font>
    <font>
      <vertAlign val="subscript"/>
      <sz val="10"/>
      <name val="Tahoma"/>
      <family val="2"/>
    </font>
    <font>
      <sz val="11"/>
      <name val="Tahoma"/>
      <family val="2"/>
    </font>
    <font>
      <i/>
      <sz val="10"/>
      <color indexed="10"/>
      <name val="Tahoma"/>
      <family val="2"/>
    </font>
    <font>
      <b/>
      <i/>
      <sz val="10"/>
      <name val="Tahoma"/>
      <family val="2"/>
    </font>
    <font>
      <i/>
      <sz val="16"/>
      <color indexed="12"/>
      <name val="Tahoma"/>
      <family val="2"/>
    </font>
    <font>
      <b/>
      <vertAlign val="subscript"/>
      <sz val="10"/>
      <name val="Tahoma"/>
      <family val="2"/>
    </font>
    <font>
      <b/>
      <sz val="10"/>
      <name val="Symbol"/>
      <family val="1"/>
      <charset val="2"/>
    </font>
    <font>
      <sz val="9"/>
      <name val="Arial"/>
      <family val="2"/>
    </font>
    <font>
      <b/>
      <sz val="9"/>
      <color indexed="10"/>
      <name val="Arial"/>
      <family val="2"/>
    </font>
    <font>
      <sz val="10"/>
      <color indexed="9"/>
      <name val="Tahoma"/>
      <family val="2"/>
    </font>
    <font>
      <sz val="10"/>
      <color indexed="10"/>
      <name val="Tahoma"/>
      <family val="2"/>
    </font>
    <font>
      <sz val="10"/>
      <color indexed="12"/>
      <name val="Tahoma"/>
      <family val="2"/>
    </font>
    <font>
      <b/>
      <sz val="14"/>
      <name val="Tahoma"/>
      <family val="2"/>
    </font>
    <font>
      <u/>
      <sz val="10"/>
      <name val="Tahoma"/>
      <family val="2"/>
    </font>
    <font>
      <sz val="16"/>
      <color indexed="12"/>
      <name val="Tahoma"/>
      <family val="2"/>
    </font>
    <font>
      <b/>
      <sz val="11"/>
      <color indexed="10"/>
      <name val="Tahoma"/>
      <family val="2"/>
    </font>
    <font>
      <b/>
      <i/>
      <sz val="11"/>
      <name val="Tahoma"/>
      <family val="2"/>
    </font>
    <font>
      <sz val="9"/>
      <name val="Tahoma"/>
      <family val="2"/>
    </font>
    <font>
      <sz val="10"/>
      <color indexed="22"/>
      <name val="Tahoma"/>
      <family val="2"/>
    </font>
    <font>
      <b/>
      <sz val="12"/>
      <color indexed="10"/>
      <name val="Tahoma"/>
      <family val="2"/>
    </font>
    <font>
      <sz val="10"/>
      <color indexed="47"/>
      <name val="Tahoma"/>
      <family val="2"/>
    </font>
    <font>
      <vertAlign val="superscript"/>
      <sz val="10"/>
      <name val="Tahoma"/>
      <family val="2"/>
    </font>
    <font>
      <b/>
      <u/>
      <sz val="8"/>
      <color indexed="12"/>
      <name val="Tahoma"/>
      <family val="2"/>
    </font>
    <font>
      <sz val="11"/>
      <color indexed="10"/>
      <name val="Tahoma"/>
      <family val="2"/>
    </font>
    <font>
      <sz val="10"/>
      <color indexed="8"/>
      <name val="Arial"/>
      <family val="2"/>
    </font>
    <font>
      <i/>
      <sz val="10"/>
      <color indexed="55"/>
      <name val="Arial"/>
      <family val="2"/>
    </font>
    <font>
      <i/>
      <sz val="10"/>
      <color indexed="55"/>
      <name val="Arial"/>
      <family val="2"/>
    </font>
    <font>
      <i/>
      <sz val="10"/>
      <color indexed="8"/>
      <name val="Arial"/>
      <family val="2"/>
    </font>
    <font>
      <b/>
      <vertAlign val="subscript"/>
      <sz val="8"/>
      <color indexed="81"/>
      <name val="Tahoma"/>
      <family val="2"/>
    </font>
    <font>
      <sz val="9"/>
      <color indexed="81"/>
      <name val="Tahoma"/>
      <family val="2"/>
    </font>
    <font>
      <b/>
      <sz val="9"/>
      <color indexed="81"/>
      <name val="Tahoma"/>
      <family val="2"/>
    </font>
    <font>
      <b/>
      <u/>
      <sz val="9"/>
      <color indexed="12"/>
      <name val="Tahoma"/>
      <family val="2"/>
    </font>
    <font>
      <b/>
      <vertAlign val="subscript"/>
      <sz val="9"/>
      <color indexed="81"/>
      <name val="Tahoma"/>
      <family val="2"/>
    </font>
    <font>
      <sz val="9"/>
      <name val="Arial"/>
      <family val="2"/>
    </font>
    <font>
      <b/>
      <vertAlign val="subscript"/>
      <sz val="9"/>
      <name val="Tahoma"/>
      <family val="2"/>
    </font>
    <font>
      <b/>
      <sz val="9"/>
      <name val="Tahoma"/>
      <family val="2"/>
    </font>
    <font>
      <u/>
      <sz val="10"/>
      <name val="Arial"/>
      <family val="2"/>
    </font>
    <font>
      <b/>
      <u/>
      <sz val="10"/>
      <name val="Arial"/>
      <family val="2"/>
    </font>
    <font>
      <b/>
      <sz val="14"/>
      <color indexed="10"/>
      <name val="Tahoma"/>
      <family val="2"/>
    </font>
    <font>
      <b/>
      <i/>
      <sz val="14"/>
      <color indexed="10"/>
      <name val="Tahoma"/>
      <family val="2"/>
    </font>
    <font>
      <i/>
      <vertAlign val="subscript"/>
      <sz val="14"/>
      <color indexed="10"/>
      <name val="Tahoma"/>
      <family val="2"/>
    </font>
    <font>
      <i/>
      <sz val="14"/>
      <color indexed="10"/>
      <name val="Tahoma"/>
      <family val="2"/>
    </font>
    <font>
      <i/>
      <sz val="10"/>
      <color theme="0"/>
      <name val="Arial"/>
      <family val="2"/>
    </font>
    <font>
      <b/>
      <sz val="14"/>
      <color rgb="FFFF0000"/>
      <name val="Tahoma"/>
      <family val="2"/>
    </font>
    <font>
      <sz val="14"/>
      <color rgb="FFFF0000"/>
      <name val="Tahoma"/>
      <family val="2"/>
    </font>
    <font>
      <sz val="14"/>
      <color rgb="FFFF0000"/>
      <name val="Arial"/>
      <family val="2"/>
    </font>
  </fonts>
  <fills count="10">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43"/>
        <bgColor indexed="64"/>
      </patternFill>
    </fill>
    <fill>
      <patternFill patternType="solid">
        <fgColor indexed="44"/>
        <bgColor indexed="64"/>
      </patternFill>
    </fill>
    <fill>
      <patternFill patternType="solid">
        <fgColor indexed="42"/>
        <bgColor indexed="64"/>
      </patternFill>
    </fill>
    <fill>
      <patternFill patternType="solid">
        <fgColor indexed="41"/>
        <bgColor indexed="64"/>
      </patternFill>
    </fill>
    <fill>
      <patternFill patternType="solid">
        <fgColor theme="0" tint="-0.249977111117893"/>
        <bgColor indexed="64"/>
      </patternFill>
    </fill>
    <fill>
      <patternFill patternType="solid">
        <fgColor theme="0"/>
        <bgColor indexed="64"/>
      </patternFill>
    </fill>
  </fills>
  <borders count="18">
    <border>
      <left/>
      <right/>
      <top/>
      <bottom/>
      <diagonal/>
    </border>
    <border>
      <left style="thin">
        <color indexed="22"/>
      </left>
      <right style="thin">
        <color indexed="22"/>
      </right>
      <top style="thin">
        <color indexed="22"/>
      </top>
      <bottom style="thin">
        <color indexed="22"/>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5" fillId="0" borderId="0" applyNumberFormat="0" applyFill="0" applyBorder="0" applyAlignment="0" applyProtection="0">
      <alignment vertical="top"/>
      <protection locked="0"/>
    </xf>
    <xf numFmtId="164" fontId="1" fillId="0" borderId="0" applyFont="0" applyFill="0" applyBorder="0" applyAlignment="0" applyProtection="0"/>
    <xf numFmtId="0" fontId="42" fillId="0" borderId="0"/>
    <xf numFmtId="9" fontId="1" fillId="0" borderId="0" applyFont="0" applyFill="0" applyBorder="0" applyAlignment="0" applyProtection="0"/>
  </cellStyleXfs>
  <cellXfs count="196">
    <xf numFmtId="0" fontId="0" fillId="0" borderId="0" xfId="0"/>
    <xf numFmtId="0" fontId="2" fillId="0" borderId="0" xfId="0" applyFont="1"/>
    <xf numFmtId="0" fontId="3" fillId="0" borderId="0" xfId="0" applyFont="1"/>
    <xf numFmtId="0" fontId="0" fillId="2" borderId="0" xfId="0" applyFill="1"/>
    <xf numFmtId="0" fontId="0" fillId="2" borderId="0" xfId="0" applyFill="1" applyAlignment="1">
      <alignment horizontal="center"/>
    </xf>
    <xf numFmtId="1" fontId="0" fillId="2" borderId="0" xfId="0" applyNumberFormat="1" applyFill="1" applyAlignment="1">
      <alignment horizontal="center"/>
    </xf>
    <xf numFmtId="2" fontId="0" fillId="2" borderId="0" xfId="0" applyNumberFormat="1" applyFill="1"/>
    <xf numFmtId="9" fontId="0" fillId="2" borderId="0" xfId="4" applyFont="1" applyFill="1"/>
    <xf numFmtId="0" fontId="2" fillId="2" borderId="0" xfId="0" applyFont="1" applyFill="1"/>
    <xf numFmtId="0" fontId="0" fillId="2" borderId="0" xfId="0" applyFill="1" applyBorder="1"/>
    <xf numFmtId="0" fontId="0" fillId="2" borderId="0" xfId="0" applyFill="1" applyBorder="1" applyAlignment="1">
      <alignment horizontal="center"/>
    </xf>
    <xf numFmtId="0" fontId="0" fillId="2" borderId="0" xfId="0" applyFill="1" applyAlignment="1">
      <alignment horizontal="right"/>
    </xf>
    <xf numFmtId="0" fontId="3" fillId="2" borderId="0" xfId="0" applyFont="1" applyFill="1"/>
    <xf numFmtId="0" fontId="3" fillId="2" borderId="0" xfId="0" applyFont="1" applyFill="1" applyAlignment="1">
      <alignment horizontal="center"/>
    </xf>
    <xf numFmtId="166" fontId="3" fillId="2" borderId="0" xfId="0" applyNumberFormat="1" applyFont="1" applyFill="1" applyAlignment="1">
      <alignment horizontal="center"/>
    </xf>
    <xf numFmtId="165" fontId="3" fillId="2" borderId="0" xfId="0" applyNumberFormat="1" applyFont="1" applyFill="1" applyAlignment="1">
      <alignment horizontal="center"/>
    </xf>
    <xf numFmtId="0" fontId="9" fillId="3" borderId="0" xfId="0" applyFont="1" applyFill="1"/>
    <xf numFmtId="0" fontId="9" fillId="3" borderId="0" xfId="0" applyFont="1" applyFill="1" applyAlignment="1">
      <alignment horizontal="center"/>
    </xf>
    <xf numFmtId="0" fontId="9" fillId="0" borderId="0" xfId="0" applyFont="1"/>
    <xf numFmtId="0" fontId="9" fillId="0" borderId="0" xfId="0" applyFont="1" applyAlignment="1">
      <alignment horizontal="center"/>
    </xf>
    <xf numFmtId="0" fontId="12" fillId="0" borderId="0" xfId="0" applyFont="1" applyAlignment="1">
      <alignment horizontal="right"/>
    </xf>
    <xf numFmtId="0" fontId="13" fillId="0" borderId="0" xfId="0" applyFont="1" applyAlignment="1">
      <alignment horizontal="right"/>
    </xf>
    <xf numFmtId="0" fontId="10" fillId="0" borderId="0" xfId="0" applyFont="1" applyAlignment="1">
      <alignment horizontal="left"/>
    </xf>
    <xf numFmtId="0" fontId="10" fillId="3" borderId="0" xfId="0" applyFont="1" applyFill="1" applyAlignment="1">
      <alignment horizontal="left"/>
    </xf>
    <xf numFmtId="0" fontId="13" fillId="3" borderId="0" xfId="0" applyFont="1" applyFill="1" applyAlignment="1">
      <alignment horizontal="right"/>
    </xf>
    <xf numFmtId="0" fontId="16" fillId="0" borderId="2" xfId="0" applyFont="1" applyBorder="1" applyAlignment="1">
      <alignment horizontal="left"/>
    </xf>
    <xf numFmtId="0" fontId="13" fillId="0" borderId="2" xfId="0" applyFont="1" applyBorder="1" applyAlignment="1">
      <alignment horizontal="right"/>
    </xf>
    <xf numFmtId="0" fontId="9" fillId="0" borderId="0" xfId="1" applyFont="1" applyAlignment="1" applyProtection="1">
      <alignment horizontal="left" indent="1"/>
    </xf>
    <xf numFmtId="0" fontId="17" fillId="0" borderId="0" xfId="0" applyFont="1" applyAlignment="1">
      <alignment horizontal="center"/>
    </xf>
    <xf numFmtId="0" fontId="17" fillId="0" borderId="0" xfId="1" applyFont="1" applyAlignment="1" applyProtection="1">
      <alignment horizontal="left"/>
    </xf>
    <xf numFmtId="0" fontId="9" fillId="0" borderId="0" xfId="0" applyFont="1" applyAlignment="1">
      <alignment horizontal="left" indent="1"/>
    </xf>
    <xf numFmtId="0" fontId="9" fillId="0" borderId="0" xfId="0" applyFont="1" applyAlignment="1">
      <alignment horizontal="right"/>
    </xf>
    <xf numFmtId="1" fontId="15" fillId="3" borderId="0" xfId="0" applyNumberFormat="1" applyFont="1" applyFill="1" applyAlignment="1">
      <alignment horizontal="center"/>
    </xf>
    <xf numFmtId="0" fontId="10" fillId="0" borderId="0" xfId="0" applyFont="1" applyAlignment="1">
      <alignment horizontal="center"/>
    </xf>
    <xf numFmtId="165" fontId="15" fillId="0" borderId="0" xfId="0" applyNumberFormat="1" applyFont="1" applyFill="1" applyBorder="1" applyAlignment="1">
      <alignment horizontal="center"/>
    </xf>
    <xf numFmtId="165" fontId="15" fillId="3" borderId="0" xfId="0" applyNumberFormat="1" applyFont="1" applyFill="1" applyBorder="1" applyAlignment="1">
      <alignment horizontal="center"/>
    </xf>
    <xf numFmtId="165" fontId="15" fillId="0" borderId="2" xfId="0" applyNumberFormat="1" applyFont="1" applyFill="1" applyBorder="1" applyAlignment="1">
      <alignment horizontal="center"/>
    </xf>
    <xf numFmtId="169" fontId="9" fillId="3" borderId="0" xfId="0" applyNumberFormat="1" applyFont="1" applyFill="1"/>
    <xf numFmtId="3" fontId="9" fillId="0" borderId="0" xfId="0" applyNumberFormat="1" applyFont="1"/>
    <xf numFmtId="0" fontId="21" fillId="0" borderId="0" xfId="0" applyFont="1"/>
    <xf numFmtId="0" fontId="16" fillId="3" borderId="0" xfId="1" applyFont="1" applyFill="1" applyAlignment="1" applyProtection="1">
      <alignment horizontal="left" indent="1"/>
    </xf>
    <xf numFmtId="0" fontId="16" fillId="3" borderId="0" xfId="0" applyFont="1" applyFill="1" applyAlignment="1">
      <alignment horizontal="right"/>
    </xf>
    <xf numFmtId="0" fontId="16" fillId="3" borderId="0" xfId="0" applyFont="1" applyFill="1"/>
    <xf numFmtId="1" fontId="10" fillId="0" borderId="0" xfId="0" applyNumberFormat="1" applyFont="1" applyAlignment="1">
      <alignment horizontal="center"/>
    </xf>
    <xf numFmtId="0" fontId="10" fillId="0" borderId="0" xfId="0" applyFont="1" applyAlignment="1">
      <alignment horizontal="right"/>
    </xf>
    <xf numFmtId="0" fontId="24" fillId="0" borderId="0" xfId="0" applyFont="1" applyAlignment="1">
      <alignment horizontal="right"/>
    </xf>
    <xf numFmtId="0" fontId="25" fillId="0" borderId="0" xfId="0" applyFont="1"/>
    <xf numFmtId="165" fontId="25" fillId="0" borderId="0" xfId="0" applyNumberFormat="1" applyFont="1"/>
    <xf numFmtId="165" fontId="26" fillId="4" borderId="0" xfId="0" applyNumberFormat="1" applyFont="1" applyFill="1"/>
    <xf numFmtId="0" fontId="4" fillId="2" borderId="0" xfId="0" applyFont="1" applyFill="1"/>
    <xf numFmtId="0" fontId="9" fillId="0" borderId="0" xfId="0" applyFont="1" applyAlignment="1">
      <alignment horizontal="center" vertical="center"/>
    </xf>
    <xf numFmtId="0" fontId="17" fillId="0" borderId="0" xfId="0" applyFont="1" applyAlignment="1">
      <alignment horizontal="center" vertical="center"/>
    </xf>
    <xf numFmtId="0" fontId="9" fillId="3" borderId="0" xfId="0" applyFont="1" applyFill="1" applyAlignment="1">
      <alignment horizontal="center" vertical="center"/>
    </xf>
    <xf numFmtId="0" fontId="9" fillId="0" borderId="2" xfId="0" applyFont="1" applyBorder="1" applyAlignment="1">
      <alignment horizontal="center" vertical="center"/>
    </xf>
    <xf numFmtId="0" fontId="9" fillId="0" borderId="0" xfId="1" applyFont="1" applyAlignment="1" applyProtection="1">
      <alignment horizontal="center" vertical="center"/>
    </xf>
    <xf numFmtId="3" fontId="29" fillId="5" borderId="3" xfId="0" applyNumberFormat="1" applyFont="1" applyFill="1" applyBorder="1" applyAlignment="1">
      <alignment horizontal="center" vertical="center"/>
    </xf>
    <xf numFmtId="0" fontId="10" fillId="0" borderId="0" xfId="0" applyFont="1" applyAlignment="1">
      <alignment horizontal="right" vertical="center"/>
    </xf>
    <xf numFmtId="0" fontId="9" fillId="0" borderId="0" xfId="0" applyFont="1" applyAlignment="1">
      <alignment horizontal="right" vertical="center"/>
    </xf>
    <xf numFmtId="0" fontId="9" fillId="0" borderId="0" xfId="0" applyFont="1" applyAlignment="1"/>
    <xf numFmtId="0" fontId="9" fillId="2" borderId="0" xfId="0" applyFont="1" applyFill="1" applyAlignment="1"/>
    <xf numFmtId="0" fontId="27" fillId="0" borderId="0" xfId="0" applyFont="1" applyAlignment="1"/>
    <xf numFmtId="0" fontId="9" fillId="3" borderId="0" xfId="0" applyFont="1" applyFill="1" applyAlignment="1"/>
    <xf numFmtId="0" fontId="9" fillId="0" borderId="2" xfId="0" applyFont="1" applyBorder="1" applyAlignment="1"/>
    <xf numFmtId="0" fontId="19" fillId="0" borderId="0" xfId="0" applyFont="1" applyAlignment="1"/>
    <xf numFmtId="0" fontId="10" fillId="0" borderId="0" xfId="0" applyFont="1" applyFill="1" applyAlignment="1"/>
    <xf numFmtId="0" fontId="10" fillId="0" borderId="0" xfId="0" applyFont="1" applyAlignment="1"/>
    <xf numFmtId="0" fontId="19" fillId="3" borderId="0" xfId="0" applyFont="1" applyFill="1" applyAlignment="1"/>
    <xf numFmtId="0" fontId="20" fillId="0" borderId="0" xfId="0" applyFont="1" applyAlignment="1"/>
    <xf numFmtId="0" fontId="11" fillId="0" borderId="0" xfId="0" applyFont="1" applyAlignment="1">
      <alignment horizontal="left"/>
    </xf>
    <xf numFmtId="0" fontId="10" fillId="0" borderId="0" xfId="1" applyFont="1" applyAlignment="1" applyProtection="1">
      <alignment horizontal="right"/>
    </xf>
    <xf numFmtId="0" fontId="10" fillId="0" borderId="0" xfId="1" applyFont="1" applyAlignment="1" applyProtection="1">
      <alignment horizontal="left" vertical="center" indent="1"/>
    </xf>
    <xf numFmtId="0" fontId="19" fillId="0" borderId="0" xfId="0" applyFont="1" applyAlignment="1">
      <alignment horizontal="center" vertical="center"/>
    </xf>
    <xf numFmtId="4" fontId="29" fillId="5" borderId="3" xfId="0" applyNumberFormat="1" applyFont="1" applyFill="1" applyBorder="1" applyAlignment="1">
      <alignment horizontal="center" vertical="center"/>
    </xf>
    <xf numFmtId="0" fontId="34" fillId="0" borderId="0" xfId="0" applyFont="1" applyAlignment="1"/>
    <xf numFmtId="0" fontId="0" fillId="6" borderId="0" xfId="0" applyFill="1"/>
    <xf numFmtId="0" fontId="3" fillId="6" borderId="0" xfId="0" applyFont="1" applyFill="1"/>
    <xf numFmtId="0" fontId="3" fillId="4" borderId="0" xfId="0" applyFont="1" applyFill="1"/>
    <xf numFmtId="0" fontId="35" fillId="0" borderId="0" xfId="0" applyFont="1" applyAlignment="1">
      <alignment horizontal="center"/>
    </xf>
    <xf numFmtId="171" fontId="9" fillId="0" borderId="0" xfId="4" applyNumberFormat="1" applyFont="1" applyAlignment="1">
      <alignment horizontal="center"/>
    </xf>
    <xf numFmtId="0" fontId="36" fillId="0" borderId="0" xfId="0" applyFont="1" applyAlignment="1"/>
    <xf numFmtId="0" fontId="2" fillId="2" borderId="0" xfId="0" applyFont="1" applyFill="1" applyBorder="1"/>
    <xf numFmtId="166" fontId="0" fillId="2" borderId="0" xfId="0" applyNumberFormat="1" applyFill="1" applyBorder="1"/>
    <xf numFmtId="0" fontId="9" fillId="0" borderId="0" xfId="0" applyFont="1" applyBorder="1" applyAlignment="1"/>
    <xf numFmtId="1" fontId="2" fillId="2" borderId="0" xfId="0" applyNumberFormat="1" applyFont="1" applyFill="1"/>
    <xf numFmtId="0" fontId="2" fillId="7" borderId="0" xfId="0" applyFont="1" applyFill="1"/>
    <xf numFmtId="0" fontId="0" fillId="7" borderId="0" xfId="0" applyFill="1"/>
    <xf numFmtId="0" fontId="0" fillId="7" borderId="0" xfId="0" applyFill="1" applyAlignment="1">
      <alignment horizontal="center"/>
    </xf>
    <xf numFmtId="0" fontId="3" fillId="7" borderId="0" xfId="0" applyFont="1" applyFill="1"/>
    <xf numFmtId="14" fontId="12" fillId="0" borderId="0" xfId="0" applyNumberFormat="1" applyFont="1" applyAlignment="1">
      <alignment horizontal="left"/>
    </xf>
    <xf numFmtId="0" fontId="6" fillId="2" borderId="0" xfId="0" applyFont="1" applyFill="1" applyAlignment="1">
      <alignment horizontal="left"/>
    </xf>
    <xf numFmtId="0" fontId="6" fillId="0" borderId="0" xfId="0" applyFont="1" applyAlignment="1">
      <alignment horizontal="left"/>
    </xf>
    <xf numFmtId="0" fontId="10" fillId="0" borderId="0" xfId="1" applyFont="1" applyAlignment="1" applyProtection="1">
      <alignment horizontal="right" vertical="center"/>
    </xf>
    <xf numFmtId="0" fontId="33" fillId="0" borderId="0" xfId="1" applyFont="1" applyAlignment="1" applyProtection="1">
      <alignment horizontal="left"/>
    </xf>
    <xf numFmtId="171" fontId="0" fillId="2" borderId="0" xfId="4" applyNumberFormat="1" applyFont="1" applyFill="1"/>
    <xf numFmtId="171" fontId="3" fillId="2" borderId="0" xfId="4" applyNumberFormat="1" applyFont="1" applyFill="1"/>
    <xf numFmtId="167" fontId="3" fillId="2" borderId="0" xfId="0" applyNumberFormat="1" applyFont="1" applyFill="1"/>
    <xf numFmtId="1" fontId="3" fillId="6" borderId="0" xfId="0" applyNumberFormat="1" applyFont="1" applyFill="1"/>
    <xf numFmtId="168" fontId="3" fillId="6" borderId="0" xfId="0" applyNumberFormat="1" applyFont="1" applyFill="1"/>
    <xf numFmtId="165" fontId="3" fillId="6" borderId="0" xfId="0" applyNumberFormat="1" applyFont="1" applyFill="1"/>
    <xf numFmtId="0" fontId="2" fillId="0" borderId="0" xfId="0" applyFont="1" applyBorder="1"/>
    <xf numFmtId="3" fontId="0" fillId="2" borderId="0" xfId="0" applyNumberFormat="1" applyFill="1" applyAlignment="1">
      <alignment horizontal="right"/>
    </xf>
    <xf numFmtId="0" fontId="9" fillId="0" borderId="0" xfId="0" applyFont="1" applyAlignment="1">
      <alignment horizontal="left"/>
    </xf>
    <xf numFmtId="169" fontId="9" fillId="0" borderId="0" xfId="0" applyNumberFormat="1" applyFont="1"/>
    <xf numFmtId="0" fontId="9" fillId="0" borderId="0" xfId="0" applyFont="1" applyFill="1"/>
    <xf numFmtId="3" fontId="9" fillId="0" borderId="0" xfId="0" applyNumberFormat="1" applyFont="1" applyFill="1"/>
    <xf numFmtId="3" fontId="28" fillId="0" borderId="0" xfId="0" applyNumberFormat="1" applyFont="1" applyFill="1"/>
    <xf numFmtId="3" fontId="27" fillId="2" borderId="0" xfId="0" applyNumberFormat="1" applyFont="1" applyFill="1"/>
    <xf numFmtId="169" fontId="38" fillId="3" borderId="0" xfId="0" applyNumberFormat="1" applyFont="1" applyFill="1"/>
    <xf numFmtId="165" fontId="0" fillId="2" borderId="0" xfId="0" applyNumberFormat="1" applyFill="1"/>
    <xf numFmtId="171" fontId="0" fillId="2" borderId="0" xfId="4" applyNumberFormat="1" applyFont="1" applyFill="1" applyAlignment="1">
      <alignment horizontal="left"/>
    </xf>
    <xf numFmtId="169" fontId="27" fillId="2" borderId="0" xfId="0" applyNumberFormat="1" applyFont="1" applyFill="1" applyBorder="1" applyAlignment="1">
      <alignment horizontal="center" vertical="center"/>
    </xf>
    <xf numFmtId="169" fontId="29" fillId="5" borderId="3" xfId="0" applyNumberFormat="1" applyFont="1" applyFill="1" applyBorder="1" applyAlignment="1">
      <alignment horizontal="center" vertical="center"/>
    </xf>
    <xf numFmtId="169" fontId="0" fillId="2" borderId="0" xfId="0" applyNumberFormat="1" applyFill="1" applyAlignment="1">
      <alignment horizontal="right"/>
    </xf>
    <xf numFmtId="0" fontId="9" fillId="0" borderId="0" xfId="0" applyFont="1" applyAlignment="1">
      <alignment vertical="center"/>
    </xf>
    <xf numFmtId="0" fontId="9" fillId="0" borderId="0" xfId="0" applyFont="1" applyBorder="1" applyAlignment="1">
      <alignment vertical="center"/>
    </xf>
    <xf numFmtId="0" fontId="9" fillId="2" borderId="0" xfId="0" applyFont="1" applyFill="1"/>
    <xf numFmtId="0" fontId="27" fillId="0" borderId="0" xfId="0" applyFont="1"/>
    <xf numFmtId="0" fontId="27" fillId="2" borderId="0" xfId="0" applyFont="1" applyFill="1"/>
    <xf numFmtId="0" fontId="12" fillId="0" borderId="0" xfId="0" applyFont="1" applyAlignment="1">
      <alignment vertical="center"/>
    </xf>
    <xf numFmtId="0" fontId="0" fillId="2" borderId="0" xfId="0" applyFill="1" applyBorder="1" applyAlignment="1">
      <alignment horizontal="right"/>
    </xf>
    <xf numFmtId="0" fontId="1" fillId="2" borderId="0" xfId="0" applyFont="1" applyFill="1"/>
    <xf numFmtId="0" fontId="42" fillId="0" borderId="1" xfId="3" applyFont="1" applyFill="1" applyBorder="1" applyAlignment="1">
      <alignment horizontal="right" wrapText="1"/>
    </xf>
    <xf numFmtId="0" fontId="6" fillId="0" borderId="0" xfId="0" applyFont="1"/>
    <xf numFmtId="0" fontId="44" fillId="0" borderId="1" xfId="3" applyFont="1" applyFill="1" applyBorder="1" applyAlignment="1">
      <alignment horizontal="right" wrapText="1"/>
    </xf>
    <xf numFmtId="0" fontId="43" fillId="0" borderId="1" xfId="3" applyFont="1" applyFill="1" applyBorder="1" applyAlignment="1">
      <alignment horizontal="right" wrapText="1"/>
    </xf>
    <xf numFmtId="0" fontId="1" fillId="0" borderId="1" xfId="3" applyFont="1" applyFill="1" applyBorder="1" applyAlignment="1">
      <alignment horizontal="right" wrapText="1"/>
    </xf>
    <xf numFmtId="4" fontId="9" fillId="0" borderId="0" xfId="2" applyNumberFormat="1" applyFont="1" applyAlignment="1">
      <alignment horizontal="center"/>
    </xf>
    <xf numFmtId="0" fontId="6" fillId="2" borderId="0" xfId="0" applyFont="1" applyFill="1"/>
    <xf numFmtId="0" fontId="3" fillId="0" borderId="4" xfId="0" applyFont="1" applyBorder="1" applyAlignment="1">
      <alignment vertical="top" wrapText="1"/>
    </xf>
    <xf numFmtId="0" fontId="3" fillId="0" borderId="5" xfId="0" applyFont="1" applyBorder="1" applyAlignment="1">
      <alignment vertical="top" wrapText="1"/>
    </xf>
    <xf numFmtId="0" fontId="36" fillId="0" borderId="0" xfId="0" applyFont="1" applyBorder="1" applyAlignment="1"/>
    <xf numFmtId="0" fontId="9" fillId="0" borderId="0" xfId="0" applyFont="1" applyBorder="1"/>
    <xf numFmtId="3" fontId="28" fillId="0" borderId="3" xfId="0" applyNumberFormat="1" applyFont="1" applyFill="1" applyBorder="1" applyAlignment="1">
      <alignment horizontal="center" vertical="center"/>
    </xf>
    <xf numFmtId="169" fontId="28" fillId="0" borderId="3" xfId="0" applyNumberFormat="1" applyFont="1" applyFill="1" applyBorder="1" applyAlignment="1">
      <alignment horizontal="center" vertical="center"/>
    </xf>
    <xf numFmtId="0" fontId="9" fillId="0" borderId="0" xfId="0" applyFont="1" applyFill="1" applyAlignment="1">
      <alignment horizontal="center" vertical="center"/>
    </xf>
    <xf numFmtId="171" fontId="9" fillId="0" borderId="0" xfId="0" applyNumberFormat="1" applyFont="1" applyFill="1" applyAlignment="1">
      <alignment horizontal="center" vertical="center"/>
    </xf>
    <xf numFmtId="169" fontId="29" fillId="4" borderId="3" xfId="0" applyNumberFormat="1" applyFont="1" applyFill="1" applyBorder="1" applyAlignment="1">
      <alignment horizontal="center" vertical="center"/>
    </xf>
    <xf numFmtId="4" fontId="28" fillId="0" borderId="3" xfId="0" applyNumberFormat="1" applyFont="1" applyFill="1" applyBorder="1" applyAlignment="1">
      <alignment horizontal="center" vertical="center"/>
    </xf>
    <xf numFmtId="3" fontId="15" fillId="0" borderId="3" xfId="0" applyNumberFormat="1" applyFont="1" applyFill="1" applyBorder="1" applyAlignment="1">
      <alignment horizontal="center" vertical="center"/>
    </xf>
    <xf numFmtId="0" fontId="9" fillId="0" borderId="0" xfId="0" applyFont="1" applyFill="1" applyAlignment="1">
      <alignment horizontal="right" vertical="center"/>
    </xf>
    <xf numFmtId="170" fontId="28" fillId="0" borderId="3" xfId="0" applyNumberFormat="1" applyFont="1" applyFill="1" applyBorder="1" applyAlignment="1">
      <alignment horizontal="center" vertical="center"/>
    </xf>
    <xf numFmtId="0" fontId="35" fillId="0" borderId="0" xfId="0" applyFont="1" applyFill="1" applyAlignment="1">
      <alignment horizontal="center"/>
    </xf>
    <xf numFmtId="0" fontId="9" fillId="0" borderId="0" xfId="1" applyFont="1" applyFill="1" applyAlignment="1" applyProtection="1">
      <alignment horizontal="center" vertical="center"/>
    </xf>
    <xf numFmtId="3" fontId="33" fillId="0" borderId="3" xfId="0" applyNumberFormat="1" applyFont="1" applyFill="1" applyBorder="1" applyAlignment="1">
      <alignment horizontal="center" vertical="center"/>
    </xf>
    <xf numFmtId="169" fontId="37" fillId="0" borderId="3" xfId="0" applyNumberFormat="1" applyFont="1" applyFill="1" applyBorder="1" applyAlignment="1">
      <alignment horizontal="center" vertical="center"/>
    </xf>
    <xf numFmtId="169" fontId="37" fillId="0" borderId="3" xfId="4" applyNumberFormat="1" applyFont="1" applyFill="1" applyBorder="1" applyAlignment="1">
      <alignment horizontal="center" vertical="center"/>
    </xf>
    <xf numFmtId="3" fontId="37" fillId="0" borderId="3" xfId="0" applyNumberFormat="1" applyFont="1" applyFill="1" applyBorder="1" applyAlignment="1">
      <alignment horizontal="center" vertical="center"/>
    </xf>
    <xf numFmtId="0" fontId="9" fillId="0" borderId="0" xfId="0" applyFont="1" applyFill="1" applyAlignment="1">
      <alignment horizontal="left" vertical="center"/>
    </xf>
    <xf numFmtId="1" fontId="9" fillId="0" borderId="0" xfId="0" applyNumberFormat="1" applyFont="1" applyFill="1" applyBorder="1" applyAlignment="1">
      <alignment vertical="center"/>
    </xf>
    <xf numFmtId="3" fontId="41" fillId="0" borderId="3" xfId="0" applyNumberFormat="1" applyFont="1" applyFill="1" applyBorder="1" applyAlignment="1">
      <alignment horizontal="center" vertical="center"/>
    </xf>
    <xf numFmtId="169" fontId="41" fillId="0" borderId="3" xfId="0" applyNumberFormat="1" applyFont="1" applyFill="1" applyBorder="1" applyAlignment="1">
      <alignment horizontal="center" vertical="center"/>
    </xf>
    <xf numFmtId="3" fontId="15" fillId="0" borderId="0" xfId="0" applyNumberFormat="1" applyFont="1" applyFill="1"/>
    <xf numFmtId="169" fontId="28" fillId="0" borderId="3" xfId="0" applyNumberFormat="1" applyFont="1" applyFill="1" applyBorder="1"/>
    <xf numFmtId="0" fontId="15" fillId="0" borderId="0" xfId="0" applyFont="1" applyAlignment="1"/>
    <xf numFmtId="4" fontId="28" fillId="0" borderId="0" xfId="0" applyNumberFormat="1" applyFont="1" applyFill="1" applyBorder="1" applyAlignment="1">
      <alignment horizontal="center" vertical="center"/>
    </xf>
    <xf numFmtId="3" fontId="28" fillId="0" borderId="0" xfId="0" applyNumberFormat="1" applyFont="1" applyFill="1" applyBorder="1" applyAlignment="1">
      <alignment horizontal="center" vertical="center"/>
    </xf>
    <xf numFmtId="3" fontId="29" fillId="5" borderId="6" xfId="0" applyNumberFormat="1" applyFont="1" applyFill="1" applyBorder="1" applyAlignment="1">
      <alignment horizontal="center" vertical="center"/>
    </xf>
    <xf numFmtId="3" fontId="28" fillId="0" borderId="7" xfId="0" applyNumberFormat="1" applyFont="1" applyFill="1" applyBorder="1" applyAlignment="1">
      <alignment horizontal="center" vertical="center"/>
    </xf>
    <xf numFmtId="0" fontId="51" fillId="0" borderId="0" xfId="0" applyFont="1" applyBorder="1" applyAlignment="1">
      <alignment horizontal="left" vertical="center"/>
    </xf>
    <xf numFmtId="0" fontId="0" fillId="2" borderId="0" xfId="0" applyFill="1" applyAlignment="1"/>
    <xf numFmtId="169" fontId="28" fillId="0" borderId="0" xfId="0" applyNumberFormat="1" applyFont="1" applyFill="1" applyBorder="1" applyAlignment="1">
      <alignment horizontal="center" vertical="center"/>
    </xf>
    <xf numFmtId="0" fontId="54" fillId="2" borderId="0" xfId="0" applyFont="1" applyFill="1"/>
    <xf numFmtId="169" fontId="28" fillId="0" borderId="3" xfId="0" quotePrefix="1" applyNumberFormat="1" applyFont="1" applyFill="1" applyBorder="1" applyAlignment="1">
      <alignment horizontal="center" vertical="center"/>
    </xf>
    <xf numFmtId="0" fontId="1" fillId="0" borderId="0" xfId="0" applyFont="1"/>
    <xf numFmtId="0" fontId="60" fillId="8" borderId="0" xfId="0" applyFont="1" applyFill="1"/>
    <xf numFmtId="0" fontId="0" fillId="8" borderId="0" xfId="0" applyFill="1"/>
    <xf numFmtId="0" fontId="55" fillId="0" borderId="0" xfId="0" applyFont="1"/>
    <xf numFmtId="3" fontId="28" fillId="9" borderId="3" xfId="0" applyNumberFormat="1" applyFont="1" applyFill="1" applyBorder="1" applyAlignment="1">
      <alignment horizontal="center" vertical="center"/>
    </xf>
    <xf numFmtId="3" fontId="28" fillId="9" borderId="0" xfId="0" applyNumberFormat="1" applyFont="1" applyFill="1" applyBorder="1" applyAlignment="1">
      <alignment horizontal="center" vertical="center"/>
    </xf>
    <xf numFmtId="9" fontId="9" fillId="0" borderId="0" xfId="0" applyNumberFormat="1" applyFont="1" applyAlignment="1"/>
    <xf numFmtId="9" fontId="29" fillId="5" borderId="3" xfId="4" applyFont="1" applyFill="1" applyBorder="1" applyAlignment="1">
      <alignment horizontal="center" vertical="center"/>
    </xf>
    <xf numFmtId="9" fontId="9" fillId="0" borderId="0" xfId="4" applyFont="1" applyAlignment="1"/>
    <xf numFmtId="9" fontId="28" fillId="0" borderId="3" xfId="4" applyFont="1" applyFill="1" applyBorder="1" applyAlignment="1">
      <alignment horizontal="center" vertical="center"/>
    </xf>
    <xf numFmtId="0" fontId="9" fillId="9" borderId="0" xfId="1" applyFont="1" applyFill="1" applyAlignment="1" applyProtection="1">
      <alignment horizontal="left" indent="1"/>
    </xf>
    <xf numFmtId="0" fontId="53" fillId="0" borderId="8" xfId="0" applyFont="1" applyBorder="1" applyAlignment="1">
      <alignment horizontal="left" vertical="center" wrapText="1"/>
    </xf>
    <xf numFmtId="0" fontId="0" fillId="0" borderId="9" xfId="0" applyBorder="1" applyAlignment="1">
      <alignment horizontal="left" vertical="center"/>
    </xf>
    <xf numFmtId="0" fontId="0" fillId="0" borderId="10" xfId="0" applyBorder="1" applyAlignment="1">
      <alignment horizontal="left" vertical="center"/>
    </xf>
    <xf numFmtId="0" fontId="0" fillId="0" borderId="11" xfId="0" applyBorder="1" applyAlignment="1">
      <alignment horizontal="left" vertical="center"/>
    </xf>
    <xf numFmtId="0" fontId="0" fillId="0" borderId="0" xfId="0" applyBorder="1" applyAlignment="1">
      <alignment horizontal="left" vertical="center"/>
    </xf>
    <xf numFmtId="0" fontId="0" fillId="0" borderId="12" xfId="0" applyBorder="1" applyAlignment="1">
      <alignment horizontal="left" vertical="center"/>
    </xf>
    <xf numFmtId="0" fontId="0" fillId="0" borderId="13" xfId="0" applyBorder="1" applyAlignment="1">
      <alignment horizontal="left" vertical="center"/>
    </xf>
    <xf numFmtId="0" fontId="0" fillId="0" borderId="2" xfId="0" applyBorder="1" applyAlignment="1">
      <alignment horizontal="left" vertical="center"/>
    </xf>
    <xf numFmtId="0" fontId="0" fillId="0" borderId="14" xfId="0" applyBorder="1" applyAlignment="1">
      <alignment horizontal="left" vertical="center"/>
    </xf>
    <xf numFmtId="0" fontId="28" fillId="0" borderId="3" xfId="0" quotePrefix="1" applyFont="1" applyBorder="1" applyAlignment="1">
      <alignment horizontal="left"/>
    </xf>
    <xf numFmtId="0" fontId="0" fillId="0" borderId="3" xfId="0" applyBorder="1" applyAlignment="1"/>
    <xf numFmtId="0" fontId="14" fillId="5" borderId="15" xfId="0" applyFont="1" applyFill="1" applyBorder="1" applyAlignment="1">
      <alignment horizontal="center"/>
    </xf>
    <xf numFmtId="0" fontId="14" fillId="5" borderId="16" xfId="0" applyFont="1" applyFill="1" applyBorder="1" applyAlignment="1">
      <alignment horizontal="center"/>
    </xf>
    <xf numFmtId="0" fontId="9" fillId="0" borderId="17" xfId="0" applyFont="1" applyBorder="1" applyAlignment="1"/>
    <xf numFmtId="0" fontId="61" fillId="0" borderId="0" xfId="0" applyFont="1" applyAlignment="1" applyProtection="1">
      <alignment horizontal="center" vertical="center"/>
    </xf>
    <xf numFmtId="0" fontId="62" fillId="0" borderId="0" xfId="0" applyFont="1" applyAlignment="1">
      <alignment horizontal="center" vertical="center"/>
    </xf>
    <xf numFmtId="0" fontId="63" fillId="0" borderId="0" xfId="0" applyFont="1" applyAlignment="1">
      <alignment horizontal="center" vertical="center"/>
    </xf>
    <xf numFmtId="0" fontId="9" fillId="0" borderId="0" xfId="0" applyFont="1" applyAlignment="1">
      <alignment horizontal="center"/>
    </xf>
    <xf numFmtId="0" fontId="0" fillId="0" borderId="0" xfId="0" applyAlignment="1">
      <alignment horizontal="center"/>
    </xf>
    <xf numFmtId="0" fontId="29" fillId="5" borderId="3" xfId="0" quotePrefix="1" applyFont="1" applyFill="1" applyBorder="1" applyAlignment="1">
      <alignment horizontal="left"/>
    </xf>
    <xf numFmtId="0" fontId="29" fillId="4" borderId="3" xfId="0" quotePrefix="1" applyFont="1" applyFill="1" applyBorder="1" applyAlignment="1">
      <alignment horizontal="left"/>
    </xf>
    <xf numFmtId="0" fontId="0" fillId="2" borderId="0" xfId="0" applyFill="1" applyAlignment="1">
      <alignment horizontal="center"/>
    </xf>
  </cellXfs>
  <cellStyles count="5">
    <cellStyle name="Lien hypertexte" xfId="1" builtinId="8"/>
    <cellStyle name="Milliers" xfId="2" builtinId="3"/>
    <cellStyle name="Normal" xfId="0" builtinId="0"/>
    <cellStyle name="Normal_Régressions" xfId="3" xr:uid="{00000000-0005-0000-0000-000003000000}"/>
    <cellStyle name="Pourcentage" xfId="4" builtinId="5"/>
  </cellStyles>
  <dxfs count="8">
    <dxf>
      <font>
        <b val="0"/>
        <i val="0"/>
        <condense val="0"/>
        <extend val="0"/>
        <color indexed="10"/>
      </font>
      <fill>
        <patternFill>
          <bgColor indexed="43"/>
        </patternFill>
      </fill>
      <border>
        <left style="thin">
          <color indexed="64"/>
        </left>
        <right style="thin">
          <color indexed="64"/>
        </right>
        <top style="thin">
          <color indexed="64"/>
        </top>
        <bottom style="thin">
          <color indexed="64"/>
        </bottom>
      </border>
    </dxf>
    <dxf>
      <font>
        <condense val="0"/>
        <extend val="0"/>
        <color indexed="12"/>
      </font>
      <fill>
        <patternFill>
          <bgColor indexed="44"/>
        </patternFill>
      </fill>
      <border>
        <left style="thin">
          <color indexed="64"/>
        </left>
        <right style="thin">
          <color indexed="64"/>
        </right>
        <top style="thin">
          <color indexed="64"/>
        </top>
        <bottom style="thin">
          <color indexed="64"/>
        </bottom>
      </border>
    </dxf>
    <dxf>
      <font>
        <condense val="0"/>
        <extend val="0"/>
        <color indexed="9"/>
      </font>
      <fill>
        <patternFill>
          <bgColor indexed="9"/>
        </patternFill>
      </fill>
      <border>
        <left/>
        <right/>
        <top/>
        <bottom/>
      </border>
    </dxf>
    <dxf>
      <font>
        <b/>
        <i/>
        <condense val="0"/>
        <extend val="0"/>
        <color indexed="57"/>
      </font>
    </dxf>
    <dxf>
      <font>
        <b/>
        <i/>
        <condense val="0"/>
        <extend val="0"/>
        <color indexed="57"/>
      </font>
    </dxf>
    <dxf>
      <font>
        <b/>
        <i/>
        <condense val="0"/>
        <extend val="0"/>
        <color indexed="57"/>
      </font>
    </dxf>
    <dxf>
      <font>
        <b/>
        <i val="0"/>
        <condense val="0"/>
        <extend val="0"/>
        <color indexed="57"/>
      </font>
    </dxf>
    <dxf>
      <font>
        <b val="0"/>
        <i val="0"/>
        <condense val="0"/>
        <extend val="0"/>
        <color indexed="10"/>
      </font>
      <fill>
        <patternFill>
          <bgColor indexed="43"/>
        </patternFill>
      </fill>
      <border>
        <left style="thin">
          <color indexed="64"/>
        </left>
        <right style="thin">
          <color indexed="64"/>
        </right>
        <top style="thin">
          <color indexed="64"/>
        </top>
        <bottom style="thin">
          <color indexed="64"/>
        </bottom>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fr-BE"/>
              <a:t>Consommation journalière (%)</a:t>
            </a:r>
          </a:p>
        </c:rich>
      </c:tx>
      <c:layout>
        <c:manualLayout>
          <c:xMode val="edge"/>
          <c:yMode val="edge"/>
          <c:x val="0.24610657312695727"/>
          <c:y val="4.1666666666666664E-2"/>
        </c:manualLayout>
      </c:layout>
      <c:overlay val="0"/>
      <c:spPr>
        <a:noFill/>
        <a:ln w="25400">
          <a:noFill/>
        </a:ln>
      </c:spPr>
    </c:title>
    <c:autoTitleDeleted val="0"/>
    <c:plotArea>
      <c:layout>
        <c:manualLayout>
          <c:layoutTarget val="inner"/>
          <c:xMode val="edge"/>
          <c:yMode val="edge"/>
          <c:x val="5.9190211224114185E-2"/>
          <c:y val="0.18333482531596124"/>
          <c:w val="0.92523645966115309"/>
          <c:h val="0.62500508630441354"/>
        </c:manualLayout>
      </c:layout>
      <c:barChart>
        <c:barDir val="col"/>
        <c:grouping val="clustered"/>
        <c:varyColors val="0"/>
        <c:ser>
          <c:idx val="1"/>
          <c:order val="0"/>
          <c:spPr>
            <a:solidFill>
              <a:srgbClr val="993366"/>
            </a:solidFill>
            <a:ln w="12700">
              <a:solidFill>
                <a:srgbClr val="000000"/>
              </a:solidFill>
              <a:prstDash val="solid"/>
            </a:ln>
          </c:spPr>
          <c:invertIfNegative val="0"/>
          <c:val>
            <c:numRef>
              <c:f>Parametres!$AH$2:$BE$2</c:f>
              <c:numCache>
                <c:formatCode>0.0</c:formatCode>
                <c:ptCount val="24"/>
                <c:pt idx="0">
                  <c:v>3.4</c:v>
                </c:pt>
                <c:pt idx="1">
                  <c:v>3.47</c:v>
                </c:pt>
                <c:pt idx="2">
                  <c:v>3.43</c:v>
                </c:pt>
                <c:pt idx="3">
                  <c:v>3.5</c:v>
                </c:pt>
                <c:pt idx="4">
                  <c:v>3.67</c:v>
                </c:pt>
                <c:pt idx="5">
                  <c:v>3.94</c:v>
                </c:pt>
                <c:pt idx="6">
                  <c:v>4.2300000000000004</c:v>
                </c:pt>
                <c:pt idx="7">
                  <c:v>4.7300000000000004</c:v>
                </c:pt>
                <c:pt idx="8">
                  <c:v>4.7</c:v>
                </c:pt>
                <c:pt idx="9">
                  <c:v>4.7</c:v>
                </c:pt>
                <c:pt idx="10">
                  <c:v>4.7</c:v>
                </c:pt>
                <c:pt idx="11">
                  <c:v>4.6100000000000003</c:v>
                </c:pt>
                <c:pt idx="12">
                  <c:v>4.4800000000000004</c:v>
                </c:pt>
                <c:pt idx="13">
                  <c:v>4.38</c:v>
                </c:pt>
                <c:pt idx="14">
                  <c:v>4.37</c:v>
                </c:pt>
                <c:pt idx="15">
                  <c:v>4.42</c:v>
                </c:pt>
                <c:pt idx="16">
                  <c:v>4.37</c:v>
                </c:pt>
                <c:pt idx="17">
                  <c:v>4.45</c:v>
                </c:pt>
                <c:pt idx="18">
                  <c:v>4.71</c:v>
                </c:pt>
                <c:pt idx="19">
                  <c:v>4.4800000000000004</c:v>
                </c:pt>
                <c:pt idx="20">
                  <c:v>4.24</c:v>
                </c:pt>
                <c:pt idx="21">
                  <c:v>4.25</c:v>
                </c:pt>
                <c:pt idx="22">
                  <c:v>3.41</c:v>
                </c:pt>
                <c:pt idx="23">
                  <c:v>3.36</c:v>
                </c:pt>
              </c:numCache>
            </c:numRef>
          </c:val>
          <c:extLst>
            <c:ext xmlns:c16="http://schemas.microsoft.com/office/drawing/2014/chart" uri="{C3380CC4-5D6E-409C-BE32-E72D297353CC}">
              <c16:uniqueId val="{00000000-7912-4B39-9FA0-CB7E1420044C}"/>
            </c:ext>
          </c:extLst>
        </c:ser>
        <c:dLbls>
          <c:showLegendKey val="0"/>
          <c:showVal val="0"/>
          <c:showCatName val="0"/>
          <c:showSerName val="0"/>
          <c:showPercent val="0"/>
          <c:showBubbleSize val="0"/>
        </c:dLbls>
        <c:gapWidth val="60"/>
        <c:axId val="86730240"/>
        <c:axId val="90403968"/>
      </c:barChart>
      <c:catAx>
        <c:axId val="86730240"/>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fr-FR"/>
          </a:p>
        </c:txPr>
        <c:crossAx val="90403968"/>
        <c:crosses val="autoZero"/>
        <c:auto val="0"/>
        <c:lblAlgn val="ctr"/>
        <c:lblOffset val="100"/>
        <c:tickLblSkip val="1"/>
        <c:tickMarkSkip val="1"/>
        <c:noMultiLvlLbl val="0"/>
      </c:catAx>
      <c:valAx>
        <c:axId val="90403968"/>
        <c:scaling>
          <c:orientation val="minMax"/>
          <c:min val="0"/>
        </c:scaling>
        <c:delete val="0"/>
        <c:axPos val="l"/>
        <c:numFmt formatCode="0" sourceLinked="0"/>
        <c:majorTickMark val="cross"/>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fr-FR"/>
          </a:p>
        </c:txPr>
        <c:crossAx val="86730240"/>
        <c:crosses val="autoZero"/>
        <c:crossBetween val="between"/>
      </c:valAx>
      <c:spPr>
        <a:solidFill>
          <a:srgbClr val="FFFFFF"/>
        </a:solidFill>
        <a:ln w="25400">
          <a:noFill/>
        </a:ln>
      </c:spPr>
    </c:plotArea>
    <c:plotVisOnly val="0"/>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fr-FR"/>
    </a:p>
  </c:txPr>
  <c:printSettings>
    <c:headerFooter alignWithMargins="0"/>
    <c:pageMargins b="0.98425196899999989" l="0.78740157499999996" r="0.78740157499999996" t="0.98425196899999989" header="0.49212598450000006" footer="0.49212598450000006"/>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700" b="1" i="0" u="none" strike="noStrike" baseline="0">
                <a:solidFill>
                  <a:srgbClr val="000000"/>
                </a:solidFill>
                <a:latin typeface="Arial"/>
                <a:ea typeface="Arial"/>
                <a:cs typeface="Arial"/>
              </a:defRPr>
            </a:pPr>
            <a:r>
              <a:rPr lang="fr-BE"/>
              <a:t>Consommation hebdomadaire (%)</a:t>
            </a:r>
          </a:p>
        </c:rich>
      </c:tx>
      <c:layout>
        <c:manualLayout>
          <c:xMode val="edge"/>
          <c:yMode val="edge"/>
          <c:x val="0.19649196482018697"/>
          <c:y val="4.2734997108412297E-2"/>
        </c:manualLayout>
      </c:layout>
      <c:overlay val="0"/>
      <c:spPr>
        <a:noFill/>
        <a:ln w="25400">
          <a:noFill/>
        </a:ln>
      </c:spPr>
    </c:title>
    <c:autoTitleDeleted val="0"/>
    <c:plotArea>
      <c:layout>
        <c:manualLayout>
          <c:layoutTarget val="inner"/>
          <c:xMode val="edge"/>
          <c:yMode val="edge"/>
          <c:x val="8.0702030914305486E-2"/>
          <c:y val="0.18803575750999527"/>
          <c:w val="0.86666963634058536"/>
          <c:h val="0.61538975185089362"/>
        </c:manualLayout>
      </c:layout>
      <c:barChart>
        <c:barDir val="col"/>
        <c:grouping val="clustered"/>
        <c:varyColors val="0"/>
        <c:ser>
          <c:idx val="1"/>
          <c:order val="0"/>
          <c:spPr>
            <a:solidFill>
              <a:srgbClr val="993366"/>
            </a:solidFill>
            <a:ln w="12700">
              <a:solidFill>
                <a:srgbClr val="000000"/>
              </a:solidFill>
              <a:prstDash val="solid"/>
            </a:ln>
          </c:spPr>
          <c:invertIfNegative val="0"/>
          <c:val>
            <c:numRef>
              <c:f>Parametres!$AH$3:$AN$3</c:f>
              <c:numCache>
                <c:formatCode>0.0</c:formatCode>
                <c:ptCount val="7"/>
                <c:pt idx="0">
                  <c:v>14.4</c:v>
                </c:pt>
                <c:pt idx="1">
                  <c:v>15.1</c:v>
                </c:pt>
                <c:pt idx="2">
                  <c:v>14.86</c:v>
                </c:pt>
                <c:pt idx="3">
                  <c:v>14.93</c:v>
                </c:pt>
                <c:pt idx="4">
                  <c:v>14.72</c:v>
                </c:pt>
                <c:pt idx="5">
                  <c:v>13.28</c:v>
                </c:pt>
                <c:pt idx="6">
                  <c:v>12.71</c:v>
                </c:pt>
              </c:numCache>
            </c:numRef>
          </c:val>
          <c:extLst>
            <c:ext xmlns:c16="http://schemas.microsoft.com/office/drawing/2014/chart" uri="{C3380CC4-5D6E-409C-BE32-E72D297353CC}">
              <c16:uniqueId val="{00000000-9C71-4D98-86DC-2C44AE05212B}"/>
            </c:ext>
          </c:extLst>
        </c:ser>
        <c:dLbls>
          <c:showLegendKey val="0"/>
          <c:showVal val="0"/>
          <c:showCatName val="0"/>
          <c:showSerName val="0"/>
          <c:showPercent val="0"/>
          <c:showBubbleSize val="0"/>
        </c:dLbls>
        <c:gapWidth val="100"/>
        <c:axId val="90710400"/>
        <c:axId val="90712320"/>
      </c:barChart>
      <c:catAx>
        <c:axId val="90710400"/>
        <c:scaling>
          <c:orientation val="minMax"/>
        </c:scaling>
        <c:delete val="0"/>
        <c:axPos val="b"/>
        <c:title>
          <c:tx>
            <c:rich>
              <a:bodyPr/>
              <a:lstStyle/>
              <a:p>
                <a:pPr>
                  <a:defRPr sz="600" b="1" i="0" u="none" strike="noStrike" baseline="0">
                    <a:solidFill>
                      <a:srgbClr val="000000"/>
                    </a:solidFill>
                    <a:latin typeface="Arial"/>
                    <a:ea typeface="Arial"/>
                    <a:cs typeface="Arial"/>
                  </a:defRPr>
                </a:pPr>
                <a:r>
                  <a:rPr lang="fr-BE"/>
                  <a:t>Jour</a:t>
                </a:r>
              </a:p>
            </c:rich>
          </c:tx>
          <c:layout>
            <c:manualLayout>
              <c:xMode val="edge"/>
              <c:yMode val="edge"/>
              <c:x val="0.89824856103513373"/>
              <c:y val="0.83761466257395789"/>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fr-FR"/>
          </a:p>
        </c:txPr>
        <c:crossAx val="90712320"/>
        <c:crosses val="autoZero"/>
        <c:auto val="0"/>
        <c:lblAlgn val="ctr"/>
        <c:lblOffset val="100"/>
        <c:tickLblSkip val="1"/>
        <c:tickMarkSkip val="1"/>
        <c:noMultiLvlLbl val="0"/>
      </c:catAx>
      <c:valAx>
        <c:axId val="90712320"/>
        <c:scaling>
          <c:orientation val="minMax"/>
          <c:min val="0"/>
        </c:scaling>
        <c:delete val="0"/>
        <c:axPos val="l"/>
        <c:numFmt formatCode="0" sourceLinked="0"/>
        <c:majorTickMark val="cross"/>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fr-FR"/>
          </a:p>
        </c:txPr>
        <c:crossAx val="90710400"/>
        <c:crosses val="autoZero"/>
        <c:crossBetween val="between"/>
      </c:valAx>
      <c:spPr>
        <a:solidFill>
          <a:srgbClr val="FFFFFF"/>
        </a:solidFill>
        <a:ln w="25400">
          <a:noFill/>
        </a:ln>
      </c:spPr>
    </c:plotArea>
    <c:plotVisOnly val="0"/>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fr-FR"/>
    </a:p>
  </c:txPr>
  <c:printSettings>
    <c:headerFooter alignWithMargins="0"/>
    <c:pageMargins b="0.98425196899999989" l="0.78740157499999996" r="0.78740157499999996" t="0.98425196899999989" header="0.49212598450000006" footer="0.49212598450000006"/>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fr-BE"/>
              <a:t>Consommation annuelle (%)</a:t>
            </a:r>
          </a:p>
        </c:rich>
      </c:tx>
      <c:layout>
        <c:manualLayout>
          <c:xMode val="edge"/>
          <c:yMode val="edge"/>
          <c:x val="0.2328770745762043"/>
          <c:y val="4.2016806722689079E-2"/>
        </c:manualLayout>
      </c:layout>
      <c:overlay val="0"/>
      <c:spPr>
        <a:noFill/>
        <a:ln w="25400">
          <a:noFill/>
        </a:ln>
      </c:spPr>
    </c:title>
    <c:autoTitleDeleted val="0"/>
    <c:plotArea>
      <c:layout>
        <c:manualLayout>
          <c:layoutTarget val="inner"/>
          <c:xMode val="edge"/>
          <c:yMode val="edge"/>
          <c:x val="6.8493265219099861E-2"/>
          <c:y val="0.17647058823529416"/>
          <c:w val="0.84246716219492812"/>
          <c:h val="0.630252100840336"/>
        </c:manualLayout>
      </c:layout>
      <c:barChart>
        <c:barDir val="col"/>
        <c:grouping val="clustered"/>
        <c:varyColors val="0"/>
        <c:ser>
          <c:idx val="1"/>
          <c:order val="0"/>
          <c:spPr>
            <a:solidFill>
              <a:srgbClr val="993366"/>
            </a:solidFill>
            <a:ln w="12700">
              <a:solidFill>
                <a:srgbClr val="000000"/>
              </a:solidFill>
              <a:prstDash val="solid"/>
            </a:ln>
          </c:spPr>
          <c:invertIfNegative val="0"/>
          <c:val>
            <c:numRef>
              <c:f>Parametres!$AH$4:$AS$4</c:f>
              <c:numCache>
                <c:formatCode>0.0</c:formatCode>
                <c:ptCount val="12"/>
                <c:pt idx="0">
                  <c:v>13.98</c:v>
                </c:pt>
                <c:pt idx="1">
                  <c:v>12.79</c:v>
                </c:pt>
                <c:pt idx="2">
                  <c:v>11.46</c:v>
                </c:pt>
                <c:pt idx="3">
                  <c:v>9.0299999999999994</c:v>
                </c:pt>
                <c:pt idx="4">
                  <c:v>5.86</c:v>
                </c:pt>
                <c:pt idx="5">
                  <c:v>4.1500000000000004</c:v>
                </c:pt>
                <c:pt idx="6">
                  <c:v>3.23</c:v>
                </c:pt>
                <c:pt idx="7">
                  <c:v>3.2</c:v>
                </c:pt>
                <c:pt idx="8">
                  <c:v>4.58</c:v>
                </c:pt>
                <c:pt idx="9">
                  <c:v>7.37</c:v>
                </c:pt>
                <c:pt idx="10">
                  <c:v>11</c:v>
                </c:pt>
                <c:pt idx="11">
                  <c:v>13.33</c:v>
                </c:pt>
              </c:numCache>
            </c:numRef>
          </c:val>
          <c:extLst>
            <c:ext xmlns:c16="http://schemas.microsoft.com/office/drawing/2014/chart" uri="{C3380CC4-5D6E-409C-BE32-E72D297353CC}">
              <c16:uniqueId val="{00000000-7597-41BF-B37C-38CEE330E4AB}"/>
            </c:ext>
          </c:extLst>
        </c:ser>
        <c:dLbls>
          <c:showLegendKey val="0"/>
          <c:showVal val="0"/>
          <c:showCatName val="0"/>
          <c:showSerName val="0"/>
          <c:showPercent val="0"/>
          <c:showBubbleSize val="0"/>
        </c:dLbls>
        <c:gapWidth val="100"/>
        <c:axId val="90732416"/>
        <c:axId val="90750976"/>
      </c:barChart>
      <c:catAx>
        <c:axId val="90732416"/>
        <c:scaling>
          <c:orientation val="minMax"/>
        </c:scaling>
        <c:delete val="0"/>
        <c:axPos val="b"/>
        <c:title>
          <c:tx>
            <c:rich>
              <a:bodyPr/>
              <a:lstStyle/>
              <a:p>
                <a:pPr>
                  <a:defRPr sz="600" b="1" i="0" u="none" strike="noStrike" baseline="0">
                    <a:solidFill>
                      <a:srgbClr val="000000"/>
                    </a:solidFill>
                    <a:latin typeface="Arial"/>
                    <a:ea typeface="Arial"/>
                    <a:cs typeface="Arial"/>
                  </a:defRPr>
                </a:pPr>
                <a:r>
                  <a:rPr lang="fr-BE"/>
                  <a:t>Mois</a:t>
                </a:r>
              </a:p>
            </c:rich>
          </c:tx>
          <c:layout>
            <c:manualLayout>
              <c:xMode val="edge"/>
              <c:yMode val="edge"/>
              <c:x val="0.88698754760918053"/>
              <c:y val="0.84033613445378152"/>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fr-FR"/>
          </a:p>
        </c:txPr>
        <c:crossAx val="90750976"/>
        <c:crosses val="autoZero"/>
        <c:auto val="0"/>
        <c:lblAlgn val="ctr"/>
        <c:lblOffset val="100"/>
        <c:tickLblSkip val="1"/>
        <c:tickMarkSkip val="1"/>
        <c:noMultiLvlLbl val="0"/>
      </c:catAx>
      <c:valAx>
        <c:axId val="90750976"/>
        <c:scaling>
          <c:orientation val="minMax"/>
          <c:min val="0"/>
        </c:scaling>
        <c:delete val="0"/>
        <c:axPos val="l"/>
        <c:numFmt formatCode="0" sourceLinked="0"/>
        <c:majorTickMark val="cross"/>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fr-FR"/>
          </a:p>
        </c:txPr>
        <c:crossAx val="90732416"/>
        <c:crosses val="autoZero"/>
        <c:crossBetween val="between"/>
      </c:valAx>
      <c:spPr>
        <a:solidFill>
          <a:srgbClr val="FFFFFF"/>
        </a:solidFill>
        <a:ln w="25400">
          <a:noFill/>
        </a:ln>
      </c:spPr>
    </c:plotArea>
    <c:plotVisOnly val="0"/>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fr-FR"/>
    </a:p>
  </c:txPr>
  <c:printSettings>
    <c:headerFooter alignWithMargins="0"/>
    <c:pageMargins b="0.98425196899999989" l="0.78740157499999996" r="0.78740157499999996" t="0.98425196899999989" header="0.49212598450000006" footer="0.49212598450000006"/>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454339813252461E-2"/>
          <c:y val="0.1608044146622141"/>
          <c:w val="0.87256435690676881"/>
          <c:h val="0.69849417618899245"/>
        </c:manualLayout>
      </c:layout>
      <c:barChart>
        <c:barDir val="col"/>
        <c:grouping val="stacked"/>
        <c:varyColors val="0"/>
        <c:ser>
          <c:idx val="1"/>
          <c:order val="0"/>
          <c:tx>
            <c:v>Productions thermiques par cogénération</c:v>
          </c:tx>
          <c:spPr>
            <a:solidFill>
              <a:srgbClr val="9999FF"/>
            </a:solidFill>
            <a:ln w="12700">
              <a:solidFill>
                <a:srgbClr val="000000"/>
              </a:solidFill>
              <a:prstDash val="solid"/>
            </a:ln>
          </c:spPr>
          <c:invertIfNegative val="0"/>
          <c:cat>
            <c:strRef>
              <c:f>Parametres!$AY$40:$BJ$40</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Parametres!$AY$42:$BJ$42</c:f>
              <c:numCache>
                <c:formatCode>General</c:formatCode>
                <c:ptCount val="12"/>
                <c:pt idx="0">
                  <c:v>34634.67290075327</c:v>
                </c:pt>
                <c:pt idx="1">
                  <c:v>31282.930361970699</c:v>
                </c:pt>
                <c:pt idx="2">
                  <c:v>33494.149397973088</c:v>
                </c:pt>
                <c:pt idx="3">
                  <c:v>31841.554118434462</c:v>
                </c:pt>
                <c:pt idx="4">
                  <c:v>13709.558023214848</c:v>
                </c:pt>
                <c:pt idx="5">
                  <c:v>977.59157381158991</c:v>
                </c:pt>
                <c:pt idx="6">
                  <c:v>0</c:v>
                </c:pt>
                <c:pt idx="7">
                  <c:v>0</c:v>
                </c:pt>
                <c:pt idx="8">
                  <c:v>3561.2264474565022</c:v>
                </c:pt>
                <c:pt idx="9">
                  <c:v>26092.384624828243</c:v>
                </c:pt>
                <c:pt idx="10">
                  <c:v>33238.113509593866</c:v>
                </c:pt>
                <c:pt idx="11">
                  <c:v>34634.67290075327</c:v>
                </c:pt>
              </c:numCache>
            </c:numRef>
          </c:val>
          <c:extLst>
            <c:ext xmlns:c16="http://schemas.microsoft.com/office/drawing/2014/chart" uri="{C3380CC4-5D6E-409C-BE32-E72D297353CC}">
              <c16:uniqueId val="{00000000-E369-4C92-8192-3F5226535C53}"/>
            </c:ext>
          </c:extLst>
        </c:ser>
        <c:ser>
          <c:idx val="0"/>
          <c:order val="1"/>
          <c:tx>
            <c:v>Besoins thermiques de l'établissement</c:v>
          </c:tx>
          <c:spPr>
            <a:solidFill>
              <a:srgbClr val="993366"/>
            </a:solidFill>
            <a:ln w="12700">
              <a:solidFill>
                <a:srgbClr val="000000"/>
              </a:solidFill>
              <a:prstDash val="solid"/>
            </a:ln>
          </c:spPr>
          <c:invertIfNegative val="0"/>
          <c:val>
            <c:numRef>
              <c:f>Parametres!$AY$44:$BJ$44</c:f>
              <c:numCache>
                <c:formatCode>General</c:formatCode>
                <c:ptCount val="12"/>
                <c:pt idx="0">
                  <c:v>25252.43868924673</c:v>
                </c:pt>
                <c:pt idx="1">
                  <c:v>23506.494333029295</c:v>
                </c:pt>
                <c:pt idx="2">
                  <c:v>15597.860532026913</c:v>
                </c:pt>
                <c:pt idx="3">
                  <c:v>6840.8934965655353</c:v>
                </c:pt>
                <c:pt idx="4">
                  <c:v>11393.337106785153</c:v>
                </c:pt>
                <c:pt idx="5">
                  <c:v>16800.056001188408</c:v>
                </c:pt>
                <c:pt idx="6">
                  <c:v>13836.578715000001</c:v>
                </c:pt>
                <c:pt idx="7">
                  <c:v>13708.0656</c:v>
                </c:pt>
                <c:pt idx="8">
                  <c:v>16058.442442543499</c:v>
                </c:pt>
                <c:pt idx="9">
                  <c:v>5479.0039601717581</c:v>
                </c:pt>
                <c:pt idx="10">
                  <c:v>13883.361990406134</c:v>
                </c:pt>
                <c:pt idx="11">
                  <c:v>22467.98786424673</c:v>
                </c:pt>
              </c:numCache>
            </c:numRef>
          </c:val>
          <c:extLst>
            <c:ext xmlns:c16="http://schemas.microsoft.com/office/drawing/2014/chart" uri="{C3380CC4-5D6E-409C-BE32-E72D297353CC}">
              <c16:uniqueId val="{00000001-E369-4C92-8192-3F5226535C53}"/>
            </c:ext>
          </c:extLst>
        </c:ser>
        <c:dLbls>
          <c:showLegendKey val="0"/>
          <c:showVal val="0"/>
          <c:showCatName val="0"/>
          <c:showSerName val="0"/>
          <c:showPercent val="0"/>
          <c:showBubbleSize val="0"/>
        </c:dLbls>
        <c:gapWidth val="140"/>
        <c:overlap val="100"/>
        <c:axId val="90769664"/>
        <c:axId val="90783744"/>
      </c:barChart>
      <c:catAx>
        <c:axId val="907696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Tahoma"/>
                <a:ea typeface="Tahoma"/>
                <a:cs typeface="Tahoma"/>
              </a:defRPr>
            </a:pPr>
            <a:endParaRPr lang="fr-FR"/>
          </a:p>
        </c:txPr>
        <c:crossAx val="90783744"/>
        <c:crosses val="autoZero"/>
        <c:auto val="0"/>
        <c:lblAlgn val="ctr"/>
        <c:lblOffset val="100"/>
        <c:tickLblSkip val="1"/>
        <c:tickMarkSkip val="1"/>
        <c:noMultiLvlLbl val="0"/>
      </c:catAx>
      <c:valAx>
        <c:axId val="90783744"/>
        <c:scaling>
          <c:orientation val="minMax"/>
          <c:min val="0"/>
        </c:scaling>
        <c:delete val="0"/>
        <c:axPos val="l"/>
        <c:title>
          <c:tx>
            <c:rich>
              <a:bodyPr rot="0" vert="horz"/>
              <a:lstStyle/>
              <a:p>
                <a:pPr algn="ctr">
                  <a:defRPr sz="1100" b="0" i="0" u="none" strike="noStrike" baseline="0">
                    <a:solidFill>
                      <a:srgbClr val="000000"/>
                    </a:solidFill>
                    <a:latin typeface="Calibri"/>
                    <a:ea typeface="Calibri"/>
                    <a:cs typeface="Calibri"/>
                  </a:defRPr>
                </a:pPr>
                <a:r>
                  <a:rPr lang="fr-BE" sz="800" b="1" i="0" u="none" strike="noStrike" baseline="0">
                    <a:solidFill>
                      <a:srgbClr val="000000"/>
                    </a:solidFill>
                    <a:latin typeface="Tahoma"/>
                    <a:ea typeface="Tahoma"/>
                    <a:cs typeface="Tahoma"/>
                  </a:rPr>
                  <a:t>kWh</a:t>
                </a:r>
                <a:r>
                  <a:rPr lang="fr-BE" sz="800" b="1" i="0" u="none" strike="noStrike" baseline="-25000">
                    <a:solidFill>
                      <a:srgbClr val="000000"/>
                    </a:solidFill>
                    <a:latin typeface="Tahoma"/>
                    <a:ea typeface="Tahoma"/>
                    <a:cs typeface="Tahoma"/>
                  </a:rPr>
                  <a:t>th</a:t>
                </a:r>
                <a:r>
                  <a:rPr lang="fr-BE" sz="800" b="1" i="0" u="none" strike="noStrike" baseline="0">
                    <a:solidFill>
                      <a:srgbClr val="000000"/>
                    </a:solidFill>
                    <a:latin typeface="Tahoma"/>
                    <a:ea typeface="Tahoma"/>
                    <a:cs typeface="Tahoma"/>
                  </a:rPr>
                  <a:t>/mois</a:t>
                </a:r>
              </a:p>
            </c:rich>
          </c:tx>
          <c:layout>
            <c:manualLayout>
              <c:xMode val="edge"/>
              <c:yMode val="edge"/>
              <c:x val="7.4962362854574405E-3"/>
              <c:y val="2.5125628140703519E-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Tahoma"/>
                <a:ea typeface="Tahoma"/>
                <a:cs typeface="Tahoma"/>
              </a:defRPr>
            </a:pPr>
            <a:endParaRPr lang="fr-FR"/>
          </a:p>
        </c:txPr>
        <c:crossAx val="90769664"/>
        <c:crosses val="autoZero"/>
        <c:crossBetween val="between"/>
      </c:valAx>
      <c:spPr>
        <a:solidFill>
          <a:srgbClr val="FFFFFF"/>
        </a:solidFill>
        <a:ln w="25400">
          <a:noFill/>
        </a:ln>
      </c:spPr>
    </c:plotArea>
    <c:legend>
      <c:legendPos val="r"/>
      <c:layout>
        <c:manualLayout>
          <c:xMode val="edge"/>
          <c:yMode val="edge"/>
          <c:x val="0.39752436034904165"/>
          <c:y val="6.5326633165829151E-2"/>
          <c:w val="0.3947733287121778"/>
          <c:h val="0.24623168335113887"/>
        </c:manualLayout>
      </c:layout>
      <c:overlay val="0"/>
      <c:spPr>
        <a:solidFill>
          <a:srgbClr val="FFFFFF"/>
        </a:solidFill>
        <a:ln w="3175">
          <a:solidFill>
            <a:srgbClr val="000000"/>
          </a:solidFill>
          <a:prstDash val="solid"/>
        </a:ln>
      </c:spPr>
      <c:txPr>
        <a:bodyPr/>
        <a:lstStyle/>
        <a:p>
          <a:pPr>
            <a:defRPr sz="620" b="1" i="0" u="none" strike="noStrike" baseline="0">
              <a:solidFill>
                <a:srgbClr val="000000"/>
              </a:solidFill>
              <a:latin typeface="Tahoma"/>
              <a:ea typeface="Tahoma"/>
              <a:cs typeface="Tahoma"/>
            </a:defRPr>
          </a:pPr>
          <a:endParaRPr lang="fr-FR"/>
        </a:p>
      </c:txPr>
    </c:legend>
    <c:plotVisOnly val="0"/>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Tahoma"/>
          <a:ea typeface="Tahoma"/>
          <a:cs typeface="Tahoma"/>
        </a:defRPr>
      </a:pPr>
      <a:endParaRPr lang="fr-FR"/>
    </a:p>
  </c:txPr>
  <c:printSettings>
    <c:headerFooter alignWithMargins="0"/>
    <c:pageMargins b="0.98425196899999989" l="0.78740157499999996" r="0.78740157499999996" t="0.98425196899999989" header="0.49212598450000006" footer="0.49212598450000006"/>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l">
              <a:defRPr sz="400" b="1" i="0" u="none" strike="noStrike" baseline="0">
                <a:solidFill>
                  <a:srgbClr val="000000"/>
                </a:solidFill>
                <a:latin typeface="Arial"/>
                <a:ea typeface="Arial"/>
                <a:cs typeface="Arial"/>
              </a:defRPr>
            </a:pPr>
            <a:r>
              <a:t>consommation en GJ PCS</a:t>
            </a:r>
          </a:p>
        </c:rich>
      </c:tx>
      <c:overlay val="0"/>
      <c:spPr>
        <a:noFill/>
        <a:ln w="25400">
          <a:noFill/>
        </a:ln>
      </c:spPr>
    </c:title>
    <c:autoTitleDeleted val="0"/>
    <c:plotArea>
      <c:layout/>
      <c:scatterChart>
        <c:scatterStyle val="lineMarker"/>
        <c:varyColors val="0"/>
        <c:ser>
          <c:idx val="0"/>
          <c:order val="0"/>
          <c:spPr>
            <a:ln w="28575">
              <a:noFill/>
            </a:ln>
          </c:spPr>
          <c:marker>
            <c:symbol val="diamond"/>
            <c:size val="5"/>
            <c:spPr>
              <a:solidFill>
                <a:srgbClr val="000080"/>
              </a:solidFill>
              <a:ln>
                <a:solidFill>
                  <a:srgbClr val="000080"/>
                </a:solidFill>
                <a:prstDash val="solid"/>
              </a:ln>
            </c:spPr>
          </c:marker>
          <c:trendline>
            <c:spPr>
              <a:ln w="25400">
                <a:solidFill>
                  <a:srgbClr val="000000"/>
                </a:solidFill>
                <a:prstDash val="solid"/>
              </a:ln>
            </c:spPr>
            <c:trendlineType val="linear"/>
            <c:dispRSqr val="0"/>
            <c:dispEq val="0"/>
          </c:trendline>
          <c:yVal>
            <c:numLit>
              <c:formatCode>General</c:formatCode>
              <c:ptCount val="1"/>
              <c:pt idx="0">
                <c:v>0</c:v>
              </c:pt>
            </c:numLit>
          </c:yVal>
          <c:smooth val="0"/>
          <c:extLst>
            <c:ext xmlns:c16="http://schemas.microsoft.com/office/drawing/2014/chart" uri="{C3380CC4-5D6E-409C-BE32-E72D297353CC}">
              <c16:uniqueId val="{00000001-BEC4-431C-937E-53DEED9D7ACB}"/>
            </c:ext>
          </c:extLst>
        </c:ser>
        <c:ser>
          <c:idx val="1"/>
          <c:order val="1"/>
          <c:spPr>
            <a:ln w="28575">
              <a:noFill/>
            </a:ln>
          </c:spPr>
          <c:marker>
            <c:symbol val="square"/>
            <c:size val="5"/>
            <c:spPr>
              <a:solidFill>
                <a:srgbClr val="FF00FF"/>
              </a:solidFill>
              <a:ln>
                <a:solidFill>
                  <a:srgbClr val="FF00FF"/>
                </a:solidFill>
                <a:prstDash val="solid"/>
              </a:ln>
            </c:spPr>
          </c:marker>
          <c:trendline>
            <c:spPr>
              <a:ln w="25400">
                <a:solidFill>
                  <a:srgbClr val="000000"/>
                </a:solidFill>
                <a:prstDash val="solid"/>
              </a:ln>
            </c:spPr>
            <c:trendlineType val="linear"/>
            <c:dispRSqr val="0"/>
            <c:dispEq val="0"/>
          </c:trendline>
          <c:yVal>
            <c:numLit>
              <c:formatCode>General</c:formatCode>
              <c:ptCount val="1"/>
              <c:pt idx="0">
                <c:v>0</c:v>
              </c:pt>
            </c:numLit>
          </c:yVal>
          <c:smooth val="0"/>
          <c:extLst>
            <c:ext xmlns:c16="http://schemas.microsoft.com/office/drawing/2014/chart" uri="{C3380CC4-5D6E-409C-BE32-E72D297353CC}">
              <c16:uniqueId val="{00000003-BEC4-431C-937E-53DEED9D7ACB}"/>
            </c:ext>
          </c:extLst>
        </c:ser>
        <c:dLbls>
          <c:showLegendKey val="0"/>
          <c:showVal val="0"/>
          <c:showCatName val="0"/>
          <c:showSerName val="0"/>
          <c:showPercent val="0"/>
          <c:showBubbleSize val="0"/>
        </c:dLbls>
        <c:axId val="106194816"/>
        <c:axId val="106205184"/>
      </c:scatterChart>
      <c:valAx>
        <c:axId val="106194816"/>
        <c:scaling>
          <c:orientation val="minMax"/>
        </c:scaling>
        <c:delete val="0"/>
        <c:axPos val="b"/>
        <c:title>
          <c:tx>
            <c:rich>
              <a:bodyPr/>
              <a:lstStyle/>
              <a:p>
                <a:pPr algn="l">
                  <a:defRPr sz="175" b="1" i="0" u="none" strike="noStrike" baseline="0">
                    <a:solidFill>
                      <a:srgbClr val="000000"/>
                    </a:solidFill>
                    <a:latin typeface="Arial"/>
                    <a:ea typeface="Arial"/>
                    <a:cs typeface="Arial"/>
                  </a:defRPr>
                </a:pPr>
                <a:r>
                  <a:t>DJ</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fr-FR"/>
          </a:p>
        </c:txPr>
        <c:crossAx val="106205184"/>
        <c:crosses val="autoZero"/>
        <c:crossBetween val="midCat"/>
      </c:valAx>
      <c:valAx>
        <c:axId val="106205184"/>
        <c:scaling>
          <c:orientation val="minMax"/>
        </c:scaling>
        <c:delete val="0"/>
        <c:axPos val="l"/>
        <c:majorGridlines>
          <c:spPr>
            <a:ln w="3175">
              <a:solidFill>
                <a:srgbClr val="000000"/>
              </a:solidFill>
              <a:prstDash val="solid"/>
            </a:ln>
          </c:spPr>
        </c:majorGridlines>
        <c:title>
          <c:tx>
            <c:rich>
              <a:bodyPr/>
              <a:lstStyle/>
              <a:p>
                <a:pPr>
                  <a:defRPr sz="175" b="1" i="0" u="none" strike="noStrike" baseline="0">
                    <a:solidFill>
                      <a:srgbClr val="000000"/>
                    </a:solidFill>
                    <a:latin typeface="Arial"/>
                    <a:ea typeface="Arial"/>
                    <a:cs typeface="Arial"/>
                  </a:defRPr>
                </a:pPr>
                <a:r>
                  <a:t>GJ PCS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fr-FR"/>
          </a:p>
        </c:txPr>
        <c:crossAx val="106194816"/>
        <c:crosses val="autoZero"/>
        <c:crossBetween val="midCat"/>
      </c:valAx>
      <c:spPr>
        <a:solidFill>
          <a:srgbClr val="C0C0C0"/>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620" b="0" i="0" u="none" strike="noStrike" baseline="0">
              <a:solidFill>
                <a:srgbClr val="000000"/>
              </a:solidFill>
              <a:latin typeface="Arial"/>
              <a:ea typeface="Arial"/>
              <a:cs typeface="Arial"/>
            </a:defRPr>
          </a:pPr>
          <a:endParaRPr lang="fr-FR"/>
        </a:p>
      </c:txPr>
    </c:legend>
    <c:plotVisOnly val="1"/>
    <c:dispBlanksAs val="gap"/>
    <c:showDLblsOverMax val="0"/>
  </c:chart>
  <c:spPr>
    <a:solidFill>
      <a:srgbClr val="FFFFFF"/>
    </a:solidFill>
    <a:ln w="3175">
      <a:solidFill>
        <a:srgbClr val="000000"/>
      </a:solidFill>
      <a:prstDash val="solid"/>
    </a:ln>
  </c:spPr>
  <c:txPr>
    <a:bodyPr/>
    <a:lstStyle/>
    <a:p>
      <a:pPr>
        <a:defRPr sz="325" b="0" i="0" u="none" strike="noStrike" baseline="0">
          <a:solidFill>
            <a:srgbClr val="000000"/>
          </a:solidFill>
          <a:latin typeface="Arial"/>
          <a:ea typeface="Arial"/>
          <a:cs typeface="Arial"/>
        </a:defRPr>
      </a:pPr>
      <a:endParaRPr lang="fr-FR"/>
    </a:p>
  </c:txPr>
  <c:printSettings>
    <c:headerFooter alignWithMargins="0"/>
    <c:pageMargins b="0.98425196899999989" l="0.78740157499999996" r="0.78740157499999996" t="0.98425196899999989" header="0.49212598450000006" footer="0.49212598450000006"/>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150"/>
        <c:axId val="106216448"/>
        <c:axId val="106369792"/>
      </c:barChart>
      <c:catAx>
        <c:axId val="106216448"/>
        <c:scaling>
          <c:orientation val="minMax"/>
        </c:scaling>
        <c:delete val="0"/>
        <c:axPos val="b"/>
        <c:majorTickMark val="in"/>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Calibri"/>
                <a:ea typeface="Calibri"/>
                <a:cs typeface="Calibri"/>
              </a:defRPr>
            </a:pPr>
            <a:endParaRPr lang="fr-FR"/>
          </a:p>
        </c:txPr>
        <c:crossAx val="106369792"/>
        <c:crosses val="autoZero"/>
        <c:auto val="1"/>
        <c:lblAlgn val="ctr"/>
        <c:lblOffset val="100"/>
        <c:tickMarkSkip val="1"/>
        <c:noMultiLvlLbl val="0"/>
      </c:catAx>
      <c:valAx>
        <c:axId val="106369792"/>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Calibri"/>
                <a:ea typeface="Calibri"/>
                <a:cs typeface="Calibri"/>
              </a:defRPr>
            </a:pPr>
            <a:endParaRPr lang="fr-FR"/>
          </a:p>
        </c:txPr>
        <c:crossAx val="106216448"/>
        <c:crosses val="autoZero"/>
        <c:crossBetween val="between"/>
      </c:valAx>
      <c:spPr>
        <a:solidFill>
          <a:srgbClr val="C0C0C0"/>
        </a:solidFill>
        <a:ln w="12700">
          <a:solidFill>
            <a:srgbClr val="808080"/>
          </a:solidFill>
          <a:prstDash val="solid"/>
        </a:ln>
      </c:spPr>
    </c:plotArea>
    <c:plotVisOnly val="1"/>
    <c:dispBlanksAs val="gap"/>
    <c:showDLblsOverMax val="0"/>
  </c:chart>
  <c:spPr>
    <a:noFill/>
    <a:ln w="9525">
      <a:noFill/>
    </a:ln>
  </c:spPr>
  <c:txPr>
    <a:bodyPr/>
    <a:lstStyle/>
    <a:p>
      <a:pPr>
        <a:defRPr sz="1100" b="0" i="0" u="none" strike="noStrike" baseline="0">
          <a:solidFill>
            <a:srgbClr val="000000"/>
          </a:solidFill>
          <a:latin typeface="Calibri"/>
          <a:ea typeface="Calibri"/>
          <a:cs typeface="Calibri"/>
        </a:defRPr>
      </a:pPr>
      <a:endParaRPr lang="fr-FR"/>
    </a:p>
  </c:txPr>
  <c:printSettings>
    <c:headerFooter/>
    <c:pageMargins b="0.75" l="0.7" r="0.7" t="0.75" header="0.3" footer="0.3"/>
    <c:pageSetup/>
  </c:printSettings>
</c:chartSpace>
</file>

<file path=xl/ctrlProps/ctrlProp1.xml><?xml version="1.0" encoding="utf-8"?>
<formControlPr xmlns="http://schemas.microsoft.com/office/spreadsheetml/2009/9/main" objectType="Drop" dropStyle="combo" dx="16" fmlaLink="Parametres!$C$5" fmlaRange="Parametres!$B$6:$B$13" sel="3" val="0"/>
</file>

<file path=xl/ctrlProps/ctrlProp2.xml><?xml version="1.0" encoding="utf-8"?>
<formControlPr xmlns="http://schemas.microsoft.com/office/spreadsheetml/2009/9/main" objectType="Drop" dropLines="12" dropStyle="combo" dx="16" fmlaLink="Parametres!$C$27" fmlaRange="Parametres!$B$30:$B$32" sel="1" val="0"/>
</file>

<file path=xl/ctrlProps/ctrlProp3.xml><?xml version="1.0" encoding="utf-8"?>
<formControlPr xmlns="http://schemas.microsoft.com/office/spreadsheetml/2009/9/main" objectType="Drop" dropLines="12" dropStyle="combo" dx="16" fmlaLink="Parametres!$C$1" fmlaRange="Parametres!$B$2:$B$3" sel="1" val="0"/>
</file>

<file path=xl/ctrlProps/ctrlProp4.xml><?xml version="1.0" encoding="utf-8"?>
<formControlPr xmlns="http://schemas.microsoft.com/office/spreadsheetml/2009/9/main" objectType="Drop" dropLines="30" dropStyle="combo" dx="16" fmlaLink="Parametres!$C$42" fmlaRange="Parametres!$B$43:$B$60" sel="17" val="0"/>
</file>

<file path=xl/ctrlProps/ctrlProp5.xml><?xml version="1.0" encoding="utf-8"?>
<formControlPr xmlns="http://schemas.microsoft.com/office/spreadsheetml/2009/9/main" objectType="Drop" dropStyle="combo" dx="16" fmlaLink="Parametres!$C$80" fmlaRange="Parametres!$B$81:$B$83" sel="2" val="0"/>
</file>

<file path=xl/ctrlProps/ctrlProp6.xml><?xml version="1.0" encoding="utf-8"?>
<formControlPr xmlns="http://schemas.microsoft.com/office/spreadsheetml/2009/9/main" objectType="Drop" dropLines="12" dropStyle="combo" dx="16" fmlaLink="Parametres!$C$23" fmlaRange="Parametres!$B$24:$B$25" sel="1" val="0"/>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1.jpeg"/><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8</xdr:col>
      <xdr:colOff>57150</xdr:colOff>
      <xdr:row>162</xdr:row>
      <xdr:rowOff>0</xdr:rowOff>
    </xdr:from>
    <xdr:to>
      <xdr:col>8</xdr:col>
      <xdr:colOff>133350</xdr:colOff>
      <xdr:row>163</xdr:row>
      <xdr:rowOff>28575</xdr:rowOff>
    </xdr:to>
    <xdr:sp macro="" textlink="">
      <xdr:nvSpPr>
        <xdr:cNvPr id="580616" name="Text Box 41">
          <a:extLst>
            <a:ext uri="{FF2B5EF4-FFF2-40B4-BE49-F238E27FC236}">
              <a16:creationId xmlns:a16="http://schemas.microsoft.com/office/drawing/2014/main" id="{00000000-0008-0000-0000-000008DC0800}"/>
            </a:ext>
          </a:extLst>
        </xdr:cNvPr>
        <xdr:cNvSpPr txBox="1">
          <a:spLocks noChangeArrowheads="1"/>
        </xdr:cNvSpPr>
      </xdr:nvSpPr>
      <xdr:spPr bwMode="auto">
        <a:xfrm>
          <a:off x="11468100" y="30632400"/>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123825</xdr:colOff>
      <xdr:row>42</xdr:row>
      <xdr:rowOff>142875</xdr:rowOff>
    </xdr:from>
    <xdr:to>
      <xdr:col>2</xdr:col>
      <xdr:colOff>3181350</xdr:colOff>
      <xdr:row>43</xdr:row>
      <xdr:rowOff>19050</xdr:rowOff>
    </xdr:to>
    <xdr:graphicFrame macro="">
      <xdr:nvGraphicFramePr>
        <xdr:cNvPr id="580617" name="Chart 58">
          <a:extLst>
            <a:ext uri="{FF2B5EF4-FFF2-40B4-BE49-F238E27FC236}">
              <a16:creationId xmlns:a16="http://schemas.microsoft.com/office/drawing/2014/main" id="{00000000-0008-0000-0000-000009DC08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3295650</xdr:colOff>
      <xdr:row>42</xdr:row>
      <xdr:rowOff>142875</xdr:rowOff>
    </xdr:from>
    <xdr:to>
      <xdr:col>5</xdr:col>
      <xdr:colOff>333375</xdr:colOff>
      <xdr:row>42</xdr:row>
      <xdr:rowOff>1276350</xdr:rowOff>
    </xdr:to>
    <xdr:graphicFrame macro="">
      <xdr:nvGraphicFramePr>
        <xdr:cNvPr id="580618" name="Chart 59">
          <a:extLst>
            <a:ext uri="{FF2B5EF4-FFF2-40B4-BE49-F238E27FC236}">
              <a16:creationId xmlns:a16="http://schemas.microsoft.com/office/drawing/2014/main" id="{00000000-0008-0000-0000-00000ADC08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476250</xdr:colOff>
      <xdr:row>42</xdr:row>
      <xdr:rowOff>142875</xdr:rowOff>
    </xdr:from>
    <xdr:to>
      <xdr:col>8</xdr:col>
      <xdr:colOff>57150</xdr:colOff>
      <xdr:row>43</xdr:row>
      <xdr:rowOff>9525</xdr:rowOff>
    </xdr:to>
    <xdr:graphicFrame macro="">
      <xdr:nvGraphicFramePr>
        <xdr:cNvPr id="580619" name="Chart 60">
          <a:extLst>
            <a:ext uri="{FF2B5EF4-FFF2-40B4-BE49-F238E27FC236}">
              <a16:creationId xmlns:a16="http://schemas.microsoft.com/office/drawing/2014/main" id="{00000000-0008-0000-0000-00000BDC08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9</xdr:col>
      <xdr:colOff>57150</xdr:colOff>
      <xdr:row>162</xdr:row>
      <xdr:rowOff>0</xdr:rowOff>
    </xdr:from>
    <xdr:to>
      <xdr:col>10</xdr:col>
      <xdr:colOff>47625</xdr:colOff>
      <xdr:row>163</xdr:row>
      <xdr:rowOff>28575</xdr:rowOff>
    </xdr:to>
    <xdr:sp macro="" textlink="">
      <xdr:nvSpPr>
        <xdr:cNvPr id="580620" name="Text Box 93">
          <a:extLst>
            <a:ext uri="{FF2B5EF4-FFF2-40B4-BE49-F238E27FC236}">
              <a16:creationId xmlns:a16="http://schemas.microsoft.com/office/drawing/2014/main" id="{00000000-0008-0000-0000-00000CDC0800}"/>
            </a:ext>
          </a:extLst>
        </xdr:cNvPr>
        <xdr:cNvSpPr txBox="1">
          <a:spLocks noChangeArrowheads="1"/>
        </xdr:cNvSpPr>
      </xdr:nvSpPr>
      <xdr:spPr bwMode="auto">
        <a:xfrm>
          <a:off x="12334875" y="30632400"/>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1123950</xdr:colOff>
      <xdr:row>62</xdr:row>
      <xdr:rowOff>95250</xdr:rowOff>
    </xdr:from>
    <xdr:to>
      <xdr:col>6</xdr:col>
      <xdr:colOff>809625</xdr:colOff>
      <xdr:row>63</xdr:row>
      <xdr:rowOff>123825</xdr:rowOff>
    </xdr:to>
    <xdr:graphicFrame macro="">
      <xdr:nvGraphicFramePr>
        <xdr:cNvPr id="580621" name="Chart 102">
          <a:extLst>
            <a:ext uri="{FF2B5EF4-FFF2-40B4-BE49-F238E27FC236}">
              <a16:creationId xmlns:a16="http://schemas.microsoft.com/office/drawing/2014/main" id="{00000000-0008-0000-0000-00000DDC08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2</xdr:col>
      <xdr:colOff>1857375</xdr:colOff>
      <xdr:row>1</xdr:row>
      <xdr:rowOff>85725</xdr:rowOff>
    </xdr:from>
    <xdr:to>
      <xdr:col>7</xdr:col>
      <xdr:colOff>133350</xdr:colOff>
      <xdr:row>1</xdr:row>
      <xdr:rowOff>714375</xdr:rowOff>
    </xdr:to>
    <xdr:pic>
      <xdr:nvPicPr>
        <xdr:cNvPr id="580622" name="Picture 113" descr="COGENcalc">
          <a:extLst>
            <a:ext uri="{FF2B5EF4-FFF2-40B4-BE49-F238E27FC236}">
              <a16:creationId xmlns:a16="http://schemas.microsoft.com/office/drawing/2014/main" id="{00000000-0008-0000-0000-00000EDC08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105025" y="171450"/>
          <a:ext cx="6734175"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236220</xdr:colOff>
      <xdr:row>177</xdr:row>
      <xdr:rowOff>123825</xdr:rowOff>
    </xdr:from>
    <xdr:to>
      <xdr:col>8</xdr:col>
      <xdr:colOff>160741</xdr:colOff>
      <xdr:row>179</xdr:row>
      <xdr:rowOff>104775</xdr:rowOff>
    </xdr:to>
    <xdr:sp macro="" textlink="">
      <xdr:nvSpPr>
        <xdr:cNvPr id="2" name="AutoShape 156">
          <a:extLst>
            <a:ext uri="{FF2B5EF4-FFF2-40B4-BE49-F238E27FC236}">
              <a16:creationId xmlns:a16="http://schemas.microsoft.com/office/drawing/2014/main" id="{00000000-0008-0000-0000-000002000000}"/>
            </a:ext>
          </a:extLst>
        </xdr:cNvPr>
        <xdr:cNvSpPr>
          <a:spLocks noChangeArrowheads="1"/>
        </xdr:cNvSpPr>
      </xdr:nvSpPr>
      <xdr:spPr bwMode="auto">
        <a:xfrm>
          <a:off x="7153275" y="31299150"/>
          <a:ext cx="2133600" cy="352425"/>
        </a:xfrm>
        <a:prstGeom prst="rightArrow">
          <a:avLst>
            <a:gd name="adj1" fmla="val 50000"/>
            <a:gd name="adj2" fmla="val 151351"/>
          </a:avLst>
        </a:prstGeom>
        <a:noFill/>
        <a:ln w="9525">
          <a:solidFill>
            <a:srgbClr val="000000"/>
          </a:solidFill>
          <a:miter lim="800000"/>
          <a:headEnd/>
          <a:tailEnd/>
        </a:ln>
      </xdr:spPr>
      <xdr:txBody>
        <a:bodyPr vertOverflow="clip" wrap="square" lIns="27432" tIns="22860" rIns="0" bIns="0" anchor="t" upright="1"/>
        <a:lstStyle/>
        <a:p>
          <a:pPr algn="l" rtl="0">
            <a:defRPr sz="1000"/>
          </a:pPr>
          <a:r>
            <a:rPr lang="fr-FR" sz="1000" b="0" i="0" strike="noStrike">
              <a:solidFill>
                <a:srgbClr val="FF0000"/>
              </a:solidFill>
              <a:latin typeface="Arial"/>
              <a:cs typeface="Arial"/>
            </a:rPr>
            <a:t>Voir tableau des gains</a:t>
          </a:r>
        </a:p>
      </xdr:txBody>
    </xdr:sp>
    <xdr:clientData/>
  </xdr:twoCellAnchor>
  <mc:AlternateContent xmlns:mc="http://schemas.openxmlformats.org/markup-compatibility/2006">
    <mc:Choice xmlns:a14="http://schemas.microsoft.com/office/drawing/2010/main" Requires="a14">
      <xdr:twoCellAnchor editAs="oneCell">
        <xdr:from>
          <xdr:col>2</xdr:col>
          <xdr:colOff>2750820</xdr:colOff>
          <xdr:row>41</xdr:row>
          <xdr:rowOff>0</xdr:rowOff>
        </xdr:from>
        <xdr:to>
          <xdr:col>5</xdr:col>
          <xdr:colOff>1097280</xdr:colOff>
          <xdr:row>42</xdr:row>
          <xdr:rowOff>38100</xdr:rowOff>
        </xdr:to>
        <xdr:sp macro="" textlink="">
          <xdr:nvSpPr>
            <xdr:cNvPr id="1026" name="Drop Dow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762000</xdr:colOff>
          <xdr:row>68</xdr:row>
          <xdr:rowOff>0</xdr:rowOff>
        </xdr:from>
        <xdr:to>
          <xdr:col>5</xdr:col>
          <xdr:colOff>640080</xdr:colOff>
          <xdr:row>69</xdr:row>
          <xdr:rowOff>38100</xdr:rowOff>
        </xdr:to>
        <xdr:sp macro="" textlink="">
          <xdr:nvSpPr>
            <xdr:cNvPr id="1038" name="Drop Down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17</xdr:row>
          <xdr:rowOff>137160</xdr:rowOff>
        </xdr:from>
        <xdr:to>
          <xdr:col>5</xdr:col>
          <xdr:colOff>990600</xdr:colOff>
          <xdr:row>19</xdr:row>
          <xdr:rowOff>7620</xdr:rowOff>
        </xdr:to>
        <xdr:sp macro="" textlink="">
          <xdr:nvSpPr>
            <xdr:cNvPr id="1118" name="Drop Down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3459480</xdr:colOff>
          <xdr:row>19</xdr:row>
          <xdr:rowOff>152400</xdr:rowOff>
        </xdr:from>
        <xdr:to>
          <xdr:col>5</xdr:col>
          <xdr:colOff>998220</xdr:colOff>
          <xdr:row>21</xdr:row>
          <xdr:rowOff>22860</xdr:rowOff>
        </xdr:to>
        <xdr:sp macro="" textlink="">
          <xdr:nvSpPr>
            <xdr:cNvPr id="1147" name="Drop Down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2278380</xdr:colOff>
          <xdr:row>43</xdr:row>
          <xdr:rowOff>160020</xdr:rowOff>
        </xdr:from>
        <xdr:to>
          <xdr:col>3</xdr:col>
          <xdr:colOff>876300</xdr:colOff>
          <xdr:row>45</xdr:row>
          <xdr:rowOff>22860</xdr:rowOff>
        </xdr:to>
        <xdr:sp macro="" textlink="">
          <xdr:nvSpPr>
            <xdr:cNvPr id="1152" name="Drop Down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533400</xdr:colOff>
          <xdr:row>117</xdr:row>
          <xdr:rowOff>0</xdr:rowOff>
        </xdr:from>
        <xdr:to>
          <xdr:col>5</xdr:col>
          <xdr:colOff>213360</xdr:colOff>
          <xdr:row>118</xdr:row>
          <xdr:rowOff>22860</xdr:rowOff>
        </xdr:to>
        <xdr:sp macro="" textlink="">
          <xdr:nvSpPr>
            <xdr:cNvPr id="1176" name="Drop Down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5</xdr:col>
      <xdr:colOff>9525</xdr:colOff>
      <xdr:row>28</xdr:row>
      <xdr:rowOff>0</xdr:rowOff>
    </xdr:from>
    <xdr:to>
      <xdr:col>5</xdr:col>
      <xdr:colOff>981075</xdr:colOff>
      <xdr:row>28</xdr:row>
      <xdr:rowOff>161925</xdr:rowOff>
    </xdr:to>
    <xdr:sp macro="" textlink="">
      <xdr:nvSpPr>
        <xdr:cNvPr id="580624" name="Line 205">
          <a:extLst>
            <a:ext uri="{FF2B5EF4-FFF2-40B4-BE49-F238E27FC236}">
              <a16:creationId xmlns:a16="http://schemas.microsoft.com/office/drawing/2014/main" id="{00000000-0008-0000-0000-000010DC0800}"/>
            </a:ext>
          </a:extLst>
        </xdr:cNvPr>
        <xdr:cNvSpPr>
          <a:spLocks noChangeShapeType="1"/>
        </xdr:cNvSpPr>
      </xdr:nvSpPr>
      <xdr:spPr bwMode="auto">
        <a:xfrm>
          <a:off x="5934075" y="5343525"/>
          <a:ext cx="971550"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723900</xdr:colOff>
      <xdr:row>88</xdr:row>
      <xdr:rowOff>66675</xdr:rowOff>
    </xdr:from>
    <xdr:to>
      <xdr:col>8</xdr:col>
      <xdr:colOff>428624</xdr:colOff>
      <xdr:row>97</xdr:row>
      <xdr:rowOff>66674</xdr:rowOff>
    </xdr:to>
    <xdr:sp macro="" textlink="">
      <xdr:nvSpPr>
        <xdr:cNvPr id="3" name="ZoneTexte 2">
          <a:extLst>
            <a:ext uri="{FF2B5EF4-FFF2-40B4-BE49-F238E27FC236}">
              <a16:creationId xmlns:a16="http://schemas.microsoft.com/office/drawing/2014/main" id="{00000000-0008-0000-0000-000003000000}"/>
            </a:ext>
          </a:extLst>
        </xdr:cNvPr>
        <xdr:cNvSpPr txBox="1"/>
      </xdr:nvSpPr>
      <xdr:spPr>
        <a:xfrm>
          <a:off x="8210550" y="18249900"/>
          <a:ext cx="3629024" cy="1543049"/>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pPr>
            <a:lnSpc>
              <a:spcPts val="900"/>
            </a:lnSpc>
          </a:pPr>
          <a:r>
            <a:rPr lang="fr-BE" sz="900">
              <a:latin typeface="Tahoma" panose="020B0604030504040204" pitchFamily="34" charset="0"/>
              <a:ea typeface="Tahoma" panose="020B0604030504040204" pitchFamily="34" charset="0"/>
              <a:cs typeface="Tahoma" panose="020B0604030504040204" pitchFamily="34" charset="0"/>
            </a:rPr>
            <a:t>Plus la part de l'électricité produite par la</a:t>
          </a:r>
          <a:r>
            <a:rPr lang="fr-BE" sz="900" baseline="0">
              <a:latin typeface="Tahoma" panose="020B0604030504040204" pitchFamily="34" charset="0"/>
              <a:ea typeface="Tahoma" panose="020B0604030504040204" pitchFamily="34" charset="0"/>
              <a:cs typeface="Tahoma" panose="020B0604030504040204" pitchFamily="34" charset="0"/>
            </a:rPr>
            <a:t> cogénération réellement auto-consommée par l'établissement est grande, plus la cogénération sera rentable.</a:t>
          </a:r>
        </a:p>
        <a:p>
          <a:pPr>
            <a:lnSpc>
              <a:spcPts val="1000"/>
            </a:lnSpc>
          </a:pPr>
          <a:r>
            <a:rPr lang="fr-BE" sz="900" baseline="0">
              <a:latin typeface="Tahoma" panose="020B0604030504040204" pitchFamily="34" charset="0"/>
              <a:ea typeface="Tahoma" panose="020B0604030504040204" pitchFamily="34" charset="0"/>
              <a:cs typeface="Tahoma" panose="020B0604030504040204" pitchFamily="34" charset="0"/>
            </a:rPr>
            <a:t>Si vous laissez la case bleue </a:t>
          </a:r>
          <a:r>
            <a:rPr lang="fr-BE" sz="900" u="sng" baseline="0">
              <a:latin typeface="Tahoma" panose="020B0604030504040204" pitchFamily="34" charset="0"/>
              <a:ea typeface="Tahoma" panose="020B0604030504040204" pitchFamily="34" charset="0"/>
              <a:cs typeface="Tahoma" panose="020B0604030504040204" pitchFamily="34" charset="0"/>
            </a:rPr>
            <a:t>vide</a:t>
          </a:r>
          <a:r>
            <a:rPr lang="fr-BE" sz="900" baseline="0">
              <a:latin typeface="Tahoma" panose="020B0604030504040204" pitchFamily="34" charset="0"/>
              <a:ea typeface="Tahoma" panose="020B0604030504040204" pitchFamily="34" charset="0"/>
              <a:cs typeface="Tahoma" panose="020B0604030504040204" pitchFamily="34" charset="0"/>
            </a:rPr>
            <a:t>, l'estimation de la part auto-consommée sera prise en considération pour les calculs suivants.</a:t>
          </a:r>
        </a:p>
        <a:p>
          <a:pPr>
            <a:lnSpc>
              <a:spcPts val="900"/>
            </a:lnSpc>
          </a:pPr>
          <a:endParaRPr lang="fr-BE" sz="900" baseline="0">
            <a:latin typeface="Tahoma" panose="020B0604030504040204" pitchFamily="34" charset="0"/>
            <a:ea typeface="Tahoma" panose="020B0604030504040204" pitchFamily="34" charset="0"/>
            <a:cs typeface="Tahoma" panose="020B0604030504040204" pitchFamily="34" charset="0"/>
          </a:endParaRPr>
        </a:p>
        <a:p>
          <a:pPr>
            <a:lnSpc>
              <a:spcPts val="900"/>
            </a:lnSpc>
          </a:pPr>
          <a:r>
            <a:rPr lang="fr-BE" sz="900" b="1" baseline="0">
              <a:latin typeface="Tahoma" panose="020B0604030504040204" pitchFamily="34" charset="0"/>
              <a:ea typeface="Tahoma" panose="020B0604030504040204" pitchFamily="34" charset="0"/>
              <a:cs typeface="Tahoma" panose="020B0604030504040204" pitchFamily="34" charset="0"/>
            </a:rPr>
            <a:t>IMPORTANT </a:t>
          </a:r>
          <a:r>
            <a:rPr lang="fr-BE" sz="900" baseline="0">
              <a:latin typeface="Tahoma" panose="020B0604030504040204" pitchFamily="34" charset="0"/>
              <a:ea typeface="Tahoma" panose="020B0604030504040204" pitchFamily="34" charset="0"/>
              <a:cs typeface="Tahoma" panose="020B0604030504040204" pitchFamily="34" charset="0"/>
            </a:rPr>
            <a:t>: seule l'étude de faisabilité simulant le fonctionnement de la cogénération sur base des profils 1/4h réels permettra de déterminer la part exacte de l'électricité produite auto-consommée. </a:t>
          </a:r>
        </a:p>
        <a:p>
          <a:r>
            <a:rPr lang="fr-BE" sz="900" baseline="0">
              <a:latin typeface="Tahoma" panose="020B0604030504040204" pitchFamily="34" charset="0"/>
              <a:ea typeface="Tahoma" panose="020B0604030504040204" pitchFamily="34" charset="0"/>
              <a:cs typeface="Tahoma" panose="020B0604030504040204" pitchFamily="34" charset="0"/>
            </a:rPr>
            <a:t> </a:t>
          </a:r>
          <a:endParaRPr lang="fr-BE" sz="900">
            <a:latin typeface="Tahoma" panose="020B0604030504040204" pitchFamily="34" charset="0"/>
            <a:ea typeface="Tahoma" panose="020B0604030504040204" pitchFamily="34" charset="0"/>
            <a:cs typeface="Tahoma" panose="020B0604030504040204" pitchFamily="34" charset="0"/>
          </a:endParaRPr>
        </a:p>
      </xdr:txBody>
    </xdr:sp>
    <xdr:clientData/>
  </xdr:twoCellAnchor>
  <xdr:twoCellAnchor>
    <xdr:from>
      <xdr:col>6</xdr:col>
      <xdr:colOff>438150</xdr:colOff>
      <xdr:row>92</xdr:row>
      <xdr:rowOff>104775</xdr:rowOff>
    </xdr:from>
    <xdr:to>
      <xdr:col>6</xdr:col>
      <xdr:colOff>695325</xdr:colOff>
      <xdr:row>92</xdr:row>
      <xdr:rowOff>104775</xdr:rowOff>
    </xdr:to>
    <xdr:cxnSp macro="">
      <xdr:nvCxnSpPr>
        <xdr:cNvPr id="580626" name="Connecteur droit avec flèche 4">
          <a:extLst>
            <a:ext uri="{FF2B5EF4-FFF2-40B4-BE49-F238E27FC236}">
              <a16:creationId xmlns:a16="http://schemas.microsoft.com/office/drawing/2014/main" id="{00000000-0008-0000-0000-000012DC0800}"/>
            </a:ext>
          </a:extLst>
        </xdr:cNvPr>
        <xdr:cNvCxnSpPr>
          <a:cxnSpLocks noChangeShapeType="1"/>
        </xdr:cNvCxnSpPr>
      </xdr:nvCxnSpPr>
      <xdr:spPr bwMode="auto">
        <a:xfrm>
          <a:off x="7924800" y="18973800"/>
          <a:ext cx="257175" cy="0"/>
        </a:xfrm>
        <a:prstGeom prst="straightConnector1">
          <a:avLst/>
        </a:prstGeom>
        <a:noFill/>
        <a:ln w="9525" algn="ctr">
          <a:solidFill>
            <a:srgbClr val="000000"/>
          </a:solidFill>
          <a:round/>
          <a:headEnd/>
          <a:tailEnd type="arrow" w="med" len="med"/>
        </a:ln>
      </xdr:spPr>
    </xdr:cxn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247650</xdr:colOff>
      <xdr:row>81</xdr:row>
      <xdr:rowOff>0</xdr:rowOff>
    </xdr:from>
    <xdr:to>
      <xdr:col>13</xdr:col>
      <xdr:colOff>57150</xdr:colOff>
      <xdr:row>81</xdr:row>
      <xdr:rowOff>0</xdr:rowOff>
    </xdr:to>
    <xdr:graphicFrame macro="">
      <xdr:nvGraphicFramePr>
        <xdr:cNvPr id="6464" name="Chart 1">
          <a:extLst>
            <a:ext uri="{FF2B5EF4-FFF2-40B4-BE49-F238E27FC236}">
              <a16:creationId xmlns:a16="http://schemas.microsoft.com/office/drawing/2014/main" id="{00000000-0008-0000-0200-00004019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2327217</xdr:colOff>
      <xdr:row>83</xdr:row>
      <xdr:rowOff>0</xdr:rowOff>
    </xdr:from>
    <xdr:to>
      <xdr:col>4</xdr:col>
      <xdr:colOff>188565</xdr:colOff>
      <xdr:row>83</xdr:row>
      <xdr:rowOff>0</xdr:rowOff>
    </xdr:to>
    <xdr:sp macro="[0]!RetourAccueil" textlink="">
      <xdr:nvSpPr>
        <xdr:cNvPr id="4120" name="Texte 5">
          <a:extLst>
            <a:ext uri="{FF2B5EF4-FFF2-40B4-BE49-F238E27FC236}">
              <a16:creationId xmlns:a16="http://schemas.microsoft.com/office/drawing/2014/main" id="{00000000-0008-0000-0200-000018100000}"/>
            </a:ext>
          </a:extLst>
        </xdr:cNvPr>
        <xdr:cNvSpPr txBox="1">
          <a:spLocks noChangeArrowheads="1"/>
        </xdr:cNvSpPr>
      </xdr:nvSpPr>
      <xdr:spPr bwMode="auto">
        <a:xfrm>
          <a:off x="2324100" y="13449300"/>
          <a:ext cx="6334125" cy="0"/>
        </a:xfrm>
        <a:prstGeom prst="rect">
          <a:avLst/>
        </a:prstGeom>
        <a:solidFill>
          <a:srgbClr val="FF0000"/>
        </a:solidFill>
        <a:ln w="1">
          <a:noFill/>
          <a:miter lim="800000"/>
          <a:headEnd/>
          <a:tailEnd/>
        </a:ln>
        <a:effectLst>
          <a:outerShdw dist="35921" dir="2700000" algn="ctr" rotWithShape="0">
            <a:srgbClr val="000000"/>
          </a:outerShdw>
        </a:effectLst>
      </xdr:spPr>
      <xdr:txBody>
        <a:bodyPr vertOverflow="clip" wrap="square" lIns="27432" tIns="22860" rIns="27432" bIns="22860" anchor="ctr" upright="1"/>
        <a:lstStyle/>
        <a:p>
          <a:pPr algn="ctr" rtl="0">
            <a:defRPr sz="1000"/>
          </a:pPr>
          <a:r>
            <a:rPr lang="fr-FR" sz="1000" b="1" i="0" strike="noStrike">
              <a:solidFill>
                <a:srgbClr val="FFFFFF"/>
              </a:solidFill>
              <a:latin typeface="Arial"/>
              <a:cs typeface="Arial"/>
            </a:rPr>
            <a:t>Retour "Accueil"</a:t>
          </a:r>
        </a:p>
      </xdr:txBody>
    </xdr:sp>
    <xdr:clientData/>
  </xdr:twoCellAnchor>
  <xdr:twoCellAnchor>
    <xdr:from>
      <xdr:col>8</xdr:col>
      <xdr:colOff>247650</xdr:colOff>
      <xdr:row>81</xdr:row>
      <xdr:rowOff>0</xdr:rowOff>
    </xdr:from>
    <xdr:to>
      <xdr:col>13</xdr:col>
      <xdr:colOff>57150</xdr:colOff>
      <xdr:row>81</xdr:row>
      <xdr:rowOff>0</xdr:rowOff>
    </xdr:to>
    <xdr:graphicFrame macro="">
      <xdr:nvGraphicFramePr>
        <xdr:cNvPr id="6466" name="Chart 3">
          <a:extLst>
            <a:ext uri="{FF2B5EF4-FFF2-40B4-BE49-F238E27FC236}">
              <a16:creationId xmlns:a16="http://schemas.microsoft.com/office/drawing/2014/main" id="{00000000-0008-0000-0200-00004219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ISSEM\DBH%20Formation%20RE%20IBGE%202005\DATA\S&#233;minaire%2010%20-%20Cogen&#233;ration\COGENpertinence%20V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Graphiques"/>
      <sheetName val="Résultats"/>
      <sheetName val="Paramètres"/>
      <sheetName val="Titres"/>
      <sheetName val="Calculs"/>
      <sheetName val="Signature énergétique"/>
      <sheetName val="COGENpertinence V7"/>
    </sheetNames>
    <sheetDataSet>
      <sheetData sheetId="0" refreshError="1"/>
      <sheetData sheetId="1" refreshError="1"/>
      <sheetData sheetId="2">
        <row r="1">
          <cell r="A1" t="str">
            <v>Type cogen</v>
          </cell>
          <cell r="B1" t="str">
            <v>Titre 1 page 1</v>
          </cell>
          <cell r="C1" t="str">
            <v>Titre 2 page 1</v>
          </cell>
          <cell r="D1" t="str">
            <v>date mise à jour</v>
          </cell>
          <cell r="E1" t="str">
            <v>pied page</v>
          </cell>
          <cell r="F1" t="str">
            <v>version</v>
          </cell>
          <cell r="G1" t="str">
            <v>contact</v>
          </cell>
          <cell r="H1" t="str">
            <v>fonction</v>
          </cell>
          <cell r="I1" t="str">
            <v>établiss contact</v>
          </cell>
          <cell r="J1" t="str">
            <v>établissement</v>
          </cell>
          <cell r="K1" t="str">
            <v>date entrevue</v>
          </cell>
          <cell r="L1" t="str">
            <v>lieu entrevue</v>
          </cell>
          <cell r="M1" t="str">
            <v>Type besoins th</v>
          </cell>
          <cell r="N1" t="str">
            <v>Installation existante</v>
          </cell>
          <cell r="O1" t="str">
            <v>place disponible</v>
          </cell>
          <cell r="P1" t="str">
            <v xml:space="preserve">conso an </v>
          </cell>
          <cell r="Q1" t="str">
            <v>text conso an</v>
          </cell>
          <cell r="R1" t="str">
            <v>rende th</v>
          </cell>
          <cell r="S1" t="str">
            <v>text rende th</v>
          </cell>
          <cell r="T1" t="str">
            <v>BNeC</v>
          </cell>
          <cell r="U1" t="str">
            <v>activité sem</v>
          </cell>
          <cell r="V1" t="str">
            <v>profil th</v>
          </cell>
          <cell r="W1" t="str">
            <v>P max mono</v>
          </cell>
          <cell r="X1" t="str">
            <v>P th cogen théo</v>
          </cell>
          <cell r="Y1" t="str">
            <v>U cogen théo</v>
          </cell>
          <cell r="Z1" t="str">
            <v>P th cogen</v>
          </cell>
          <cell r="AA1" t="str">
            <v>U cogen</v>
          </cell>
          <cell r="AB1" t="str">
            <v>Prod th cogen</v>
          </cell>
          <cell r="AC1" t="str">
            <v>part prod th cogen</v>
          </cell>
          <cell r="AD1" t="str">
            <v>Besoin th résid</v>
          </cell>
          <cell r="AE1" t="str">
            <v>type besoins th</v>
          </cell>
          <cell r="AF1" t="str">
            <v>techno étudiée</v>
          </cell>
          <cell r="AG1" t="str">
            <v>short techno</v>
          </cell>
          <cell r="AH1" t="str">
            <v>rende th cogen</v>
          </cell>
          <cell r="AI1" t="str">
            <v>P é cogen</v>
          </cell>
          <cell r="AJ1" t="str">
            <v>rende é</v>
          </cell>
          <cell r="AK1" t="str">
            <v>P prim cogen</v>
          </cell>
          <cell r="AL1" t="str">
            <v>Prod élec cogen</v>
          </cell>
          <cell r="AM1" t="str">
            <v>Besoins élec</v>
          </cell>
          <cell r="AN1" t="str">
            <v>part prod é cogen</v>
          </cell>
          <cell r="AO1" t="str">
            <v>Conso cogen</v>
          </cell>
          <cell r="AP1" t="str">
            <v>ballon stock</v>
          </cell>
          <cell r="AQ1" t="str">
            <v>conso comb</v>
          </cell>
          <cell r="AR1" t="str">
            <v>text conso com</v>
          </cell>
          <cell r="AS1" t="str">
            <v>disponibilité</v>
          </cell>
          <cell r="AT1" t="str">
            <v>fact sur-invest</v>
          </cell>
          <cell r="AU1" t="str">
            <v>text équip n°1</v>
          </cell>
          <cell r="AV1" t="str">
            <v>inv équip n°1</v>
          </cell>
          <cell r="AW1" t="str">
            <v>text équip n°2</v>
          </cell>
          <cell r="AX1" t="str">
            <v>inv équip n°2</v>
          </cell>
          <cell r="AY1" t="str">
            <v>text équip n°3</v>
          </cell>
          <cell r="AZ1" t="str">
            <v>inv équip n°3</v>
          </cell>
          <cell r="BA1" t="str">
            <v>text équip n°4</v>
          </cell>
          <cell r="BB1" t="str">
            <v>inv équip n°4</v>
          </cell>
          <cell r="BC1" t="str">
            <v>text équip n°5</v>
          </cell>
          <cell r="BD1" t="str">
            <v>inv équip n°5</v>
          </cell>
          <cell r="BE1" t="str">
            <v>inv total</v>
          </cell>
          <cell r="BF1" t="str">
            <v>inv tot + surinv</v>
          </cell>
          <cell r="BG1" t="str">
            <v>aides</v>
          </cell>
          <cell r="BH1" t="str">
            <v>inv total net</v>
          </cell>
          <cell r="BI1" t="str">
            <v>méca aides</v>
          </cell>
          <cell r="BJ1" t="str">
            <v>taux méca aides</v>
          </cell>
          <cell r="BK1" t="str">
            <v>taux aide consid</v>
          </cell>
          <cell r="BL1" t="str">
            <v>autre aide</v>
          </cell>
          <cell r="BM1" t="str">
            <v>contexte</v>
          </cell>
          <cell r="BN1" t="str">
            <v>aide finale</v>
          </cell>
          <cell r="BO1" t="str">
            <v>utilisation élec</v>
          </cell>
          <cell r="BP1" t="str">
            <v>valor élec 1</v>
          </cell>
          <cell r="BQ1" t="str">
            <v>valor élec 2</v>
          </cell>
          <cell r="BR1" t="str">
            <v>coût élec</v>
          </cell>
          <cell r="BS1" t="str">
            <v>gain élec</v>
          </cell>
          <cell r="BT1" t="str">
            <v>valor élec 3</v>
          </cell>
          <cell r="BU1" t="str">
            <v>prix vente élec</v>
          </cell>
          <cell r="BV1" t="str">
            <v>valor élec 4</v>
          </cell>
          <cell r="BW1" t="str">
            <v>gain vente élec</v>
          </cell>
          <cell r="BX1" t="str">
            <v>gain chaleur kWh</v>
          </cell>
          <cell r="BY1" t="str">
            <v>coût chaleur</v>
          </cell>
          <cell r="BZ1" t="str">
            <v>gain chaleur €</v>
          </cell>
          <cell r="CA1" t="str">
            <v>coef CO2 comb</v>
          </cell>
          <cell r="CB1" t="str">
            <v>gaz ou mazout</v>
          </cell>
          <cell r="CC1" t="str">
            <v>raison CO2</v>
          </cell>
          <cell r="CD1" t="str">
            <v>taux CO2</v>
          </cell>
          <cell r="CE1" t="str">
            <v>taux CO2 consid</v>
          </cell>
          <cell r="CF1" t="str">
            <v>limite CO2</v>
          </cell>
          <cell r="CG1" t="str">
            <v>nb CV</v>
          </cell>
          <cell r="CH1" t="str">
            <v>gain CV</v>
          </cell>
          <cell r="CI1" t="str">
            <v>raison coût comb</v>
          </cell>
          <cell r="CJ1" t="str">
            <v>coût comb</v>
          </cell>
          <cell r="CK1" t="str">
            <v>text coût comb</v>
          </cell>
          <cell r="CL1" t="str">
            <v>dépense comb</v>
          </cell>
          <cell r="CM1" t="str">
            <v>coût entretien</v>
          </cell>
          <cell r="CN1" t="str">
            <v>dépense entret</v>
          </cell>
          <cell r="CO1" t="str">
            <v>gain annuel net</v>
          </cell>
          <cell r="CP1" t="str">
            <v>taux actualisation</v>
          </cell>
          <cell r="CQ1" t="str">
            <v>évol dép comb</v>
          </cell>
          <cell r="CR1" t="str">
            <v>taux inflation</v>
          </cell>
          <cell r="CS1" t="str">
            <v>évol élec</v>
          </cell>
          <cell r="CT1" t="str">
            <v>évol chaleur</v>
          </cell>
          <cell r="CU1" t="str">
            <v>évol CV</v>
          </cell>
          <cell r="CV1" t="str">
            <v>TRS</v>
          </cell>
          <cell r="CW1" t="str">
            <v>VAN</v>
          </cell>
          <cell r="CX1" t="str">
            <v>TRI</v>
          </cell>
          <cell r="CY1" t="str">
            <v>avant envi</v>
          </cell>
          <cell r="CZ1" t="str">
            <v>autre avant</v>
          </cell>
          <cell r="DA1" t="str">
            <v>avant bis</v>
          </cell>
          <cell r="DB1" t="str">
            <v xml:space="preserve">tonnes CO2 </v>
          </cell>
          <cell r="DC1" t="str">
            <v>wallons OK</v>
          </cell>
          <cell r="DD1" t="str">
            <v>gain an brut</v>
          </cell>
          <cell r="DE1" t="str">
            <v>concl</v>
          </cell>
          <cell r="DF1" t="str">
            <v>aides pré-fais</v>
          </cell>
        </row>
        <row r="2">
          <cell r="A2" t="str">
            <v>cogénération à huile végétale</v>
          </cell>
          <cell r="B2" t="str">
            <v xml:space="preserve">Installation d'une cogénération à huile végétale - 88 kWth - 50 kWé </v>
          </cell>
          <cell r="C2" t="str">
            <v>la Piscine de Beauraing</v>
          </cell>
          <cell r="D2" t="str">
            <v>28 avril 2005</v>
          </cell>
          <cell r="E2" t="str">
            <v>Cogénération pour la Piscine de Beauraing</v>
          </cell>
          <cell r="F2">
            <v>38470</v>
          </cell>
          <cell r="G2" t="str">
            <v>M. Thierry Laureys</v>
          </cell>
          <cell r="H2" t="str">
            <v>Coordinateur du Palme de Beauraing</v>
          </cell>
          <cell r="I2" t="str">
            <v>de la Commune de Beauraing</v>
          </cell>
          <cell r="J2" t="str">
            <v>la Piscine de Beauraing</v>
          </cell>
          <cell r="K2" t="str">
            <v>15 février 2005</v>
          </cell>
          <cell r="L2" t="str">
            <v>à Beauraing</v>
          </cell>
          <cell r="M2" t="str">
            <v>la production d'eau chaude pour le chauffage des bâtiments et de la piscine (air pulsé, désenbuage et radiateurs) et la production d'eau chaude sanitaire (douches)</v>
          </cell>
          <cell r="N2" t="str">
            <v>une installation thermique centralisée de 3 chaudières IGNIS au mazout de 23 ans ayant une puissance thermique de 450 000 kcal ou 523 kWth. Il y également 2 boilers Viessmann de 1 000 litres pour la production d'eau chaude sanitaire. La puissance totale s</v>
          </cell>
          <cell r="O2" t="str">
            <v>dans le local technique, pour l'instant inoccupé, ayant une superficie au sol de 8 m x 8 m</v>
          </cell>
          <cell r="P2">
            <v>100000</v>
          </cell>
          <cell r="Q2" t="str">
            <v>kWh de mazout</v>
          </cell>
          <cell r="R2">
            <v>0.81</v>
          </cell>
          <cell r="S2" t="str">
            <v>pour l'installation existante</v>
          </cell>
          <cell r="T2">
            <v>81000</v>
          </cell>
          <cell r="U2" t="str">
            <v>répartis sur toute la semaine avec une consommation plus faible le week-end</v>
          </cell>
          <cell r="V2" t="str">
            <v>des besoins assez réguliers typique des piscines et hall sportifs. Il s'agit donc des profils thermiques type C (journalier, hebdomadaire et mensuel) : activité diurne 7 jour/7</v>
          </cell>
          <cell r="W2">
            <v>14.820416815408066</v>
          </cell>
          <cell r="X2">
            <v>10.065590543858519</v>
          </cell>
          <cell r="Y2">
            <v>6264</v>
          </cell>
          <cell r="Z2">
            <v>18</v>
          </cell>
          <cell r="AA2">
            <v>4498</v>
          </cell>
          <cell r="AB2">
            <v>80964</v>
          </cell>
          <cell r="AC2">
            <v>0.99955555555555553</v>
          </cell>
          <cell r="AD2">
            <v>36</v>
          </cell>
          <cell r="AE2" t="str">
            <v>combinant des besoins thermiques de base (piscine et eau chaude sanitaire) et des besoins climatiques (chauffage de l'air ambiant)</v>
          </cell>
          <cell r="AF2" t="str">
            <v>le choix s'est porté sur une unité de cogénération utilisant un combustible renouvelable : l'huile végétale, de colza par exemple, qui peut facilement être cultivé par les agriculteurs de la région. Car il n'est malheureusement pas possible d'utiliser une</v>
          </cell>
          <cell r="AG2" t="str">
            <v>cogénération à huile végétale</v>
          </cell>
          <cell r="AH2">
            <v>0.6</v>
          </cell>
          <cell r="AI2">
            <v>8</v>
          </cell>
          <cell r="AJ2">
            <v>0.26666666666666666</v>
          </cell>
          <cell r="AK2">
            <v>30</v>
          </cell>
          <cell r="AL2">
            <v>35984</v>
          </cell>
          <cell r="AM2">
            <v>20000</v>
          </cell>
          <cell r="AN2">
            <v>1.7991999999999999</v>
          </cell>
          <cell r="AO2">
            <v>134940</v>
          </cell>
          <cell r="AP2">
            <v>1000</v>
          </cell>
          <cell r="AQ2">
            <v>134940</v>
          </cell>
          <cell r="AR2" t="str">
            <v>kWh/an</v>
          </cell>
          <cell r="AS2" t="str">
            <v>Cela représente une consommation équivalente de 114 000 litres d'huile végétale par an (sur base d'un PCI de 9.5 kWh/litre)</v>
          </cell>
          <cell r="AT2">
            <v>0</v>
          </cell>
          <cell r="AU2" t="str">
            <v>Module de cogénération complet (livré en container)</v>
          </cell>
          <cell r="AV2">
            <v>15900</v>
          </cell>
          <cell r="AW2" t="str">
            <v>Installation, raccordement et mise en service</v>
          </cell>
          <cell r="AX2">
            <v>2385</v>
          </cell>
          <cell r="AY2" t="str">
            <v>Frais de génie civil (dalle béton)</v>
          </cell>
          <cell r="AZ2">
            <v>0</v>
          </cell>
          <cell r="BA2" t="str">
            <v>Stockage de chaleur (existant)</v>
          </cell>
          <cell r="BB2">
            <v>1400</v>
          </cell>
          <cell r="BC2" t="str">
            <v>Frais d'études (forfait de 7%)</v>
          </cell>
          <cell r="BD2">
            <v>0</v>
          </cell>
          <cell r="BE2">
            <v>19685</v>
          </cell>
          <cell r="BF2">
            <v>19685</v>
          </cell>
          <cell r="BG2">
            <v>4921.25</v>
          </cell>
          <cell r="BH2">
            <v>14763.75</v>
          </cell>
          <cell r="BI2" t="str">
            <v>Infrasport pourra supporter, de manière certaine selon le responsable technique Jean-Marie Brun, 50 % du montant de l'investissement</v>
          </cell>
          <cell r="BJ2">
            <v>0.5</v>
          </cell>
          <cell r="BK2">
            <v>0.25</v>
          </cell>
          <cell r="BL2" t="str">
            <v>UREBA pourrait accorder 30 % supplémentaire. Comme ce n'est pas certain, UREBA n'a pas été considéré dans le présent rapport</v>
          </cell>
          <cell r="BM2" t="str">
            <v>Par ailleurs, il existe une Prime URE pour la cogénération qui monte à 20 % de l'investissement, avec un plafond à 15 000 €. Cette aide n'est pas cumulable avec UREBA, mais elle est certaine</v>
          </cell>
          <cell r="BN2" t="str">
            <v xml:space="preserve">Nous avons considéré un aide de 50 % dans le cadre d'Infrasport et de 15 000 € (le plafond étant atteint) dasn le cadre des Primes URE de la Région wallonne. </v>
          </cell>
          <cell r="BO2" t="str">
            <v>possèdait une consommation électrique de 205 254 kWhé en 2003 (la consommation de l'année 2004 n'étant pas correcte, selon le responsable technique)</v>
          </cell>
          <cell r="BP2" t="str">
            <v xml:space="preserve">50 % de l'électricité produite par la cogénération sera auto-consommée par le site. Cette proportion devra être confirmée par la suite.  </v>
          </cell>
          <cell r="BQ2" t="str">
            <v xml:space="preserve">Le prix moyen mentionné par le responsable technique, de 0.06 €/kWhé (ou de 60 €/Mwhé) fin 2004 nous paraît fort faible. Nous supposons que ce prix n'intègre pas tous les surcoûts. Nous allons donc considéré un prix moyen de </v>
          </cell>
          <cell r="BR2">
            <v>110</v>
          </cell>
          <cell r="BS2">
            <v>1202.6880000001513</v>
          </cell>
          <cell r="BT2" t="str">
            <v xml:space="preserve">les 50 % excédentaires seront revendus au fournisseur d'énergie le plus offrant. Généralement, ce prix varie, pour une cogénération, entre 20 à 45 €/Mwhé. Nous allons considéré un prix de revente faible de  </v>
          </cell>
          <cell r="BU2">
            <v>30</v>
          </cell>
          <cell r="BW2">
            <v>215.90399999999994</v>
          </cell>
          <cell r="BX2">
            <v>99955.555555555547</v>
          </cell>
          <cell r="BY2">
            <v>33</v>
          </cell>
          <cell r="BZ2">
            <v>3298.5333333333328</v>
          </cell>
          <cell r="CA2">
            <v>65</v>
          </cell>
          <cell r="CC2" t="str">
            <v>pour la ulture de l'huile végétale et son conditionnement</v>
          </cell>
          <cell r="CD2">
            <v>2.1421812749003983</v>
          </cell>
          <cell r="CE2">
            <v>2.1421812749003983</v>
          </cell>
          <cell r="CG2">
            <v>71.968000000000004</v>
          </cell>
          <cell r="CH2">
            <v>6621.0560000000005</v>
          </cell>
          <cell r="CI2" t="str">
            <v xml:space="preserve">Selon le prix maximum du marché actuel de l'huile végétale, nous allons considérer, par mesure de sécurité, un prix de </v>
          </cell>
          <cell r="CJ2">
            <v>63.15789473684211</v>
          </cell>
          <cell r="CK2" t="str">
            <v>€/MWh d'huile végétale (ou de 0.6 €/litres d'huile végétale)</v>
          </cell>
          <cell r="CL2">
            <v>8522.5263157894733</v>
          </cell>
          <cell r="CM2">
            <v>0.14904351117480186</v>
          </cell>
          <cell r="CN2">
            <v>670.39771326425887</v>
          </cell>
          <cell r="CO2">
            <v>4109.1613042795998</v>
          </cell>
          <cell r="CP2">
            <v>0.05</v>
          </cell>
          <cell r="CQ2">
            <v>0.05</v>
          </cell>
          <cell r="CR2">
            <v>0.02</v>
          </cell>
          <cell r="CS2">
            <v>0.01</v>
          </cell>
          <cell r="CT2">
            <v>0.05</v>
          </cell>
          <cell r="CU2">
            <v>0</v>
          </cell>
          <cell r="CV2">
            <v>3.5928864570548456</v>
          </cell>
          <cell r="CW2">
            <v>-207.95882037622289</v>
          </cell>
          <cell r="CX2">
            <v>4.4315699793309092E-2</v>
          </cell>
          <cell r="CY2" t="str">
            <v>utilisation plus rationnelle d'un combustible précieux comme l'huile végétale, substitution du mazout (pour le chauffage actuel) et de l'électricité (produite à partir de combustibles fossiles), réduction associée des émissions polluantes dont le CO2, réd</v>
          </cell>
          <cell r="CZ2" t="str">
            <v>Par ailleurs, ce projet contribue à l'augmentation de l'emploi en Wallonie, car il s'agit d'un équipement supplémentaire nécessitant de la matière grise (étude, conception, …) et de la main d'œuvre qualifiée (installation, entretien, …). Mais ce projet pe</v>
          </cell>
          <cell r="DB2">
            <v>24947.543636363633</v>
          </cell>
          <cell r="DC2">
            <v>79.960075757575751</v>
          </cell>
          <cell r="DD2">
            <v>13302.085333333333</v>
          </cell>
          <cell r="DE2" t="str">
            <v>Ces résultats "à la grosse louche" montrent qu'une cogénération à l'huile végétale de 88 kWth et 50 kWé est une solution très intéressante</v>
          </cell>
          <cell r="DF2" t="str">
            <v>Pour rappel, la Région wallonne finance 50% de ces frais d'étude, dans le cadre d'UREBA</v>
          </cell>
        </row>
        <row r="3">
          <cell r="A3" t="str">
            <v>cogénération au gaz</v>
          </cell>
          <cell r="B3" t="str">
            <v xml:space="preserve">Installation d'une cogénération au gaz - 100 kWth - 55 kWé </v>
          </cell>
          <cell r="C3" t="str">
            <v>le CPAS de Namur</v>
          </cell>
          <cell r="D3" t="str">
            <v>31 janvier 2005</v>
          </cell>
          <cell r="E3" t="str">
            <v>Cogénération pour le CPAS de Namur</v>
          </cell>
          <cell r="F3">
            <v>38383</v>
          </cell>
          <cell r="G3" t="str">
            <v>M. Jean-Claude Peetermans</v>
          </cell>
          <cell r="H3" t="str">
            <v>Responsable du Service des Travaux</v>
          </cell>
          <cell r="I3" t="str">
            <v>du CPAS de Namur</v>
          </cell>
          <cell r="J3" t="str">
            <v>le CPAS de Namur</v>
          </cell>
          <cell r="K3" t="str">
            <v>31 janvier 2005</v>
          </cell>
          <cell r="L3" t="str">
            <v xml:space="preserve">à la salle du Conseil du CPAS de Namur à Jambes </v>
          </cell>
          <cell r="M3" t="str">
            <v>la production d'eau chaude pour le chauffage des bâtiments et la production d'eau chaude sanitaire</v>
          </cell>
          <cell r="N3" t="str">
            <v>une installation thermique décentralisée de 2 chaudières au gaz naturel à condensation (régime 80/60°C), d'une puissance de 575 kWth chacune, avec 6 départs et la possibilité d'une production d'ECS par capteurs solaires. Précisons que les seules consommat</v>
          </cell>
          <cell r="O3" t="str">
            <v>dans le local prévu à côté de la chaufferie de 6.5 mètres x 7 mètres, et une hauteur de 3.6 mètres</v>
          </cell>
          <cell r="P3">
            <v>100000</v>
          </cell>
          <cell r="Q3" t="str">
            <v>kWh d'électricité (tant de jour que de nuit)</v>
          </cell>
          <cell r="R3">
            <v>0.81</v>
          </cell>
          <cell r="S3" t="str">
            <v>pour les radiateurs électriques</v>
          </cell>
          <cell r="T3">
            <v>81000</v>
          </cell>
          <cell r="U3" t="str">
            <v>régulière, typique d'une maison de repos, supposée continue 7 jour/7</v>
          </cell>
          <cell r="V3" t="str">
            <v>des besoins assez réguliers mais dépendants des rigueurs climatiques, avec une base de consommation thermique dédiée à la production d'eau chaude sanitaire</v>
          </cell>
          <cell r="W3">
            <v>14.820416815408066</v>
          </cell>
          <cell r="X3">
            <v>10.065590543858519</v>
          </cell>
          <cell r="Y3">
            <v>6264</v>
          </cell>
          <cell r="Z3">
            <v>18</v>
          </cell>
          <cell r="AA3">
            <v>4498</v>
          </cell>
          <cell r="AB3">
            <v>80964</v>
          </cell>
          <cell r="AC3">
            <v>0.99955555555555553</v>
          </cell>
          <cell r="AD3">
            <v>36</v>
          </cell>
          <cell r="AE3" t="str">
            <v>climatique avec un légère base pour l'eau chaude sanitaire</v>
          </cell>
          <cell r="AF3" t="str">
            <v>le choix s'est porté sur une unité de cogénération classique alimentée au gaz naturel, déjà présent sur le site</v>
          </cell>
          <cell r="AG3" t="str">
            <v>cogénération au gaz naturel</v>
          </cell>
          <cell r="AH3">
            <v>0.6</v>
          </cell>
          <cell r="AI3">
            <v>8</v>
          </cell>
          <cell r="AJ3">
            <v>0.26666666666666666</v>
          </cell>
          <cell r="AK3">
            <v>30</v>
          </cell>
          <cell r="AL3">
            <v>35984</v>
          </cell>
          <cell r="AM3">
            <v>20000</v>
          </cell>
          <cell r="AN3">
            <v>1.7991999999999999</v>
          </cell>
          <cell r="AO3">
            <v>134940</v>
          </cell>
          <cell r="AP3">
            <v>1000</v>
          </cell>
          <cell r="AQ3">
            <v>134940</v>
          </cell>
          <cell r="AR3" t="str">
            <v>kWh/an</v>
          </cell>
          <cell r="AT3">
            <v>0</v>
          </cell>
          <cell r="AU3" t="str">
            <v>Module de cogénération complet</v>
          </cell>
          <cell r="AV3">
            <v>15900</v>
          </cell>
          <cell r="AW3" t="str">
            <v>Installation, raccordement et mise en service</v>
          </cell>
          <cell r="AX3">
            <v>2385</v>
          </cell>
          <cell r="AY3" t="str">
            <v>Frais de génie civil</v>
          </cell>
          <cell r="AZ3">
            <v>0</v>
          </cell>
          <cell r="BA3" t="str">
            <v xml:space="preserve">Stockage de chaleur </v>
          </cell>
          <cell r="BB3">
            <v>1400</v>
          </cell>
          <cell r="BC3" t="str">
            <v>Frais d'études</v>
          </cell>
          <cell r="BD3">
            <v>0</v>
          </cell>
          <cell r="BE3">
            <v>19685</v>
          </cell>
          <cell r="BF3">
            <v>19685</v>
          </cell>
          <cell r="BG3">
            <v>4921.25</v>
          </cell>
          <cell r="BH3">
            <v>14763.75</v>
          </cell>
          <cell r="BI3" t="str">
            <v>La prime Energie 2004, en cours de reconduction pour 2005, pourra être demandée par le CPAS de Namur dans le cadre d'un projet cogénération au gaz naturel</v>
          </cell>
          <cell r="BJ3">
            <v>0.2</v>
          </cell>
          <cell r="BK3">
            <v>0.25</v>
          </cell>
          <cell r="BL3" t="str">
            <v>le CPAS de Namur pourra par ailleurs bénéficier de l'aide UREBA, à hauteur de 30% du montant d'investissement et cumulable avec la prime Energie</v>
          </cell>
          <cell r="BM3" t="str">
            <v>La combinaison des deux mécanismes d'aide financière à l'investissement</v>
          </cell>
          <cell r="BN3" t="str">
            <v xml:space="preserve">aboutit à considérer, en tenant compte d'un plafond pour la Prime Energie de 15 000 €, un taux d'aide de  </v>
          </cell>
          <cell r="BO3" t="str">
            <v xml:space="preserve">possède une pointe de puissance électrique de 400 kWé </v>
          </cell>
          <cell r="BP3" t="str">
            <v xml:space="preserve">tout l'électricité produite par la cogénération de 55 kWé </v>
          </cell>
          <cell r="BQ3" t="str">
            <v>sera auto-consommée par</v>
          </cell>
          <cell r="BR3">
            <v>110</v>
          </cell>
          <cell r="BS3">
            <v>1202.6880000001513</v>
          </cell>
          <cell r="BU3">
            <v>30</v>
          </cell>
          <cell r="BW3">
            <v>215.90399999999994</v>
          </cell>
          <cell r="BX3">
            <v>99955.555555555547</v>
          </cell>
          <cell r="BY3">
            <v>33</v>
          </cell>
          <cell r="BZ3">
            <v>3298.5333333333328</v>
          </cell>
          <cell r="CA3">
            <v>65</v>
          </cell>
          <cell r="CC3" t="str">
            <v>pour la combustion du gaz naturel mais aussi sa préparation</v>
          </cell>
          <cell r="CD3">
            <v>2.1421812749003983</v>
          </cell>
          <cell r="CE3">
            <v>2.1421812749003983</v>
          </cell>
          <cell r="CG3">
            <v>71.968000000000004</v>
          </cell>
          <cell r="CH3">
            <v>6621.0560000000005</v>
          </cell>
          <cell r="CI3" t="str">
            <v xml:space="preserve">Selon le prix mentionné par M. Peetermans de 2.27 c€/kWh HTVA pour 2003, nous allons supposé un coût de </v>
          </cell>
          <cell r="CJ3">
            <v>6.3157894736842106</v>
          </cell>
          <cell r="CK3" t="str">
            <v>c€/kWh de gaz naturel TVAC</v>
          </cell>
          <cell r="CL3">
            <v>8522.5263157894733</v>
          </cell>
          <cell r="CM3">
            <v>0.14904351117480186</v>
          </cell>
          <cell r="CN3">
            <v>670.39771326425887</v>
          </cell>
          <cell r="CO3">
            <v>4109.1613042795998</v>
          </cell>
          <cell r="CP3">
            <v>0.05</v>
          </cell>
          <cell r="CQ3">
            <v>0.05</v>
          </cell>
          <cell r="CR3">
            <v>0.02</v>
          </cell>
          <cell r="CS3">
            <v>0.01</v>
          </cell>
          <cell r="CT3">
            <v>0.05</v>
          </cell>
          <cell r="CU3">
            <v>0</v>
          </cell>
          <cell r="CV3">
            <v>3.5928864570548456</v>
          </cell>
          <cell r="CW3">
            <v>-207.95882037622289</v>
          </cell>
          <cell r="CX3">
            <v>4.4315699793309092E-2</v>
          </cell>
          <cell r="CY3" t="str">
            <v>utilisation plus rationnelle d'un combustible précieux, réduction des émissions polluantes dont le CO2, utilisation d'une énergie moins noble pour le chauffage que l'électricité, …</v>
          </cell>
          <cell r="CZ3" t="str">
            <v>Par ailleurs, ce projet contribue à l'augmentation de l'emploi en Wallonie, car il s'agit d'un équipement supplémentaire nécessitant de la matière grise (étude, conception, …) et de la main d'œuvre qualifiée (installation, entretien, …)</v>
          </cell>
          <cell r="DB3">
            <v>24947.543636363633</v>
          </cell>
          <cell r="DC3">
            <v>79.960075757575751</v>
          </cell>
          <cell r="DD3">
            <v>13302.085333333333</v>
          </cell>
          <cell r="DE3" t="str">
            <v xml:space="preserve">Ces résultats "à la grosse louche" montrent que la cogénération au gaz naturel de 100 kWth et 55 kWé, couplée aux stockages de chaleur de 4 000 litres, est une solution intéressante pour le CPAS de Namur. </v>
          </cell>
          <cell r="DF3" t="str">
            <v>Pour rappel, la Région wallonne finance 50% de ces frais d'étude, dans le cadre d'UREBA</v>
          </cell>
        </row>
        <row r="4">
          <cell r="AQ4">
            <v>14204.21052631579</v>
          </cell>
        </row>
      </sheetData>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omments" Target="../comments1.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4"/>
  <dimension ref="A1:AF220"/>
  <sheetViews>
    <sheetView showGridLines="0" tabSelected="1" topLeftCell="A16" zoomScaleNormal="100" workbookViewId="0">
      <selection activeCell="F35" sqref="F35"/>
    </sheetView>
  </sheetViews>
  <sheetFormatPr baseColWidth="10" defaultColWidth="11.5546875" defaultRowHeight="13.2" x14ac:dyDescent="0.25"/>
  <cols>
    <col min="1" max="1" width="1.44140625" style="18" customWidth="1"/>
    <col min="2" max="2" width="2.33203125" style="18" customWidth="1"/>
    <col min="3" max="3" width="53" style="18" customWidth="1"/>
    <col min="4" max="4" width="15.33203125" style="19" customWidth="1"/>
    <col min="5" max="5" width="16.88671875" style="18" customWidth="1"/>
    <col min="6" max="6" width="23.44140625" style="18" customWidth="1"/>
    <col min="7" max="7" width="18.33203125" style="18" customWidth="1"/>
    <col min="8" max="8" width="40.5546875" style="18" customWidth="1"/>
    <col min="9" max="9" width="13" style="18" customWidth="1"/>
    <col min="10" max="10" width="1.33203125" style="18" customWidth="1"/>
    <col min="11" max="11" width="3.44140625" style="18" customWidth="1"/>
    <col min="12" max="13" width="1.88671875" style="18" customWidth="1"/>
    <col min="14" max="14" width="25.33203125" style="18" customWidth="1"/>
    <col min="15" max="15" width="24.44140625" style="18" hidden="1" customWidth="1"/>
    <col min="16" max="16" width="1.6640625" style="18" customWidth="1"/>
    <col min="17" max="17" width="2.5546875" style="18" customWidth="1"/>
    <col min="18" max="18" width="24.6640625" style="18" bestFit="1" customWidth="1"/>
    <col min="19" max="19" width="14.109375" style="18" customWidth="1"/>
    <col min="20" max="29" width="14.6640625" style="18" customWidth="1"/>
    <col min="30" max="31" width="1.6640625" style="18" customWidth="1"/>
    <col min="32" max="16384" width="11.5546875" style="18"/>
  </cols>
  <sheetData>
    <row r="1" spans="1:10" ht="7.2" customHeight="1" x14ac:dyDescent="0.25">
      <c r="A1" s="16"/>
      <c r="B1" s="16"/>
      <c r="C1" s="16"/>
      <c r="D1" s="17"/>
      <c r="E1" s="16"/>
      <c r="F1" s="16"/>
      <c r="G1" s="16"/>
      <c r="H1" s="16"/>
      <c r="I1" s="16"/>
      <c r="J1" s="16"/>
    </row>
    <row r="2" spans="1:10" ht="71.7" customHeight="1" x14ac:dyDescent="0.35">
      <c r="A2" s="16"/>
      <c r="B2" s="58"/>
      <c r="C2" s="68" t="s">
        <v>111</v>
      </c>
      <c r="E2" s="20" t="s">
        <v>27</v>
      </c>
      <c r="F2" s="88">
        <v>42093</v>
      </c>
      <c r="G2" s="58"/>
      <c r="H2" s="58"/>
      <c r="I2" s="58"/>
      <c r="J2" s="16"/>
    </row>
    <row r="3" spans="1:10" ht="21.6" customHeight="1" x14ac:dyDescent="0.25">
      <c r="A3" s="16"/>
      <c r="B3" s="58"/>
      <c r="C3" s="188" t="s">
        <v>446</v>
      </c>
      <c r="D3" s="189"/>
      <c r="E3" s="189"/>
      <c r="F3" s="189"/>
      <c r="G3" s="189"/>
      <c r="H3" s="190"/>
      <c r="I3" s="58"/>
      <c r="J3" s="16"/>
    </row>
    <row r="4" spans="1:10" ht="15" customHeight="1" x14ac:dyDescent="0.25">
      <c r="A4" s="16"/>
      <c r="B4" s="58"/>
      <c r="C4" s="191" t="s">
        <v>151</v>
      </c>
      <c r="D4" s="191"/>
      <c r="E4" s="191"/>
      <c r="F4" s="191"/>
      <c r="G4" s="191"/>
      <c r="H4" s="192"/>
      <c r="I4" s="58"/>
      <c r="J4" s="16"/>
    </row>
    <row r="5" spans="1:10" ht="9.6" customHeight="1" x14ac:dyDescent="0.35">
      <c r="A5" s="16"/>
      <c r="B5" s="58"/>
      <c r="C5" s="58"/>
      <c r="D5" s="21"/>
      <c r="E5" s="58"/>
      <c r="F5" s="58"/>
      <c r="G5" s="58"/>
      <c r="H5" s="58"/>
      <c r="I5" s="58"/>
      <c r="J5" s="16"/>
    </row>
    <row r="6" spans="1:10" x14ac:dyDescent="0.25">
      <c r="A6" s="16"/>
      <c r="B6" s="58"/>
      <c r="C6" s="193" t="s">
        <v>22</v>
      </c>
      <c r="D6" s="184"/>
      <c r="E6" s="184"/>
      <c r="F6" s="184"/>
      <c r="G6" s="184"/>
      <c r="H6" s="82"/>
      <c r="I6" s="58"/>
      <c r="J6" s="16"/>
    </row>
    <row r="7" spans="1:10" x14ac:dyDescent="0.25">
      <c r="A7" s="16"/>
      <c r="B7" s="58"/>
      <c r="C7" s="194" t="s">
        <v>386</v>
      </c>
      <c r="D7" s="184"/>
      <c r="E7" s="184"/>
      <c r="F7" s="184"/>
      <c r="G7" s="184"/>
      <c r="H7" s="82"/>
      <c r="I7" s="58"/>
      <c r="J7" s="16"/>
    </row>
    <row r="8" spans="1:10" ht="12.75" customHeight="1" x14ac:dyDescent="0.25">
      <c r="A8" s="16"/>
      <c r="B8" s="58"/>
      <c r="C8" s="183" t="s">
        <v>384</v>
      </c>
      <c r="D8" s="184"/>
      <c r="E8" s="184"/>
      <c r="F8" s="184"/>
      <c r="G8" s="184"/>
      <c r="H8" s="58"/>
      <c r="I8" s="58"/>
      <c r="J8" s="16"/>
    </row>
    <row r="9" spans="1:10" ht="13.2" customHeight="1" x14ac:dyDescent="0.35">
      <c r="A9" s="16"/>
      <c r="B9" s="58"/>
      <c r="D9" s="21"/>
      <c r="E9" s="58"/>
      <c r="F9" s="58"/>
      <c r="G9" s="58"/>
      <c r="H9" s="58"/>
      <c r="I9" s="58"/>
      <c r="J9" s="16"/>
    </row>
    <row r="10" spans="1:10" ht="22.2" x14ac:dyDescent="0.35">
      <c r="A10" s="16"/>
      <c r="B10" s="58"/>
      <c r="C10" s="64" t="s">
        <v>23</v>
      </c>
      <c r="D10" s="21"/>
      <c r="E10" s="58"/>
      <c r="F10" s="58"/>
      <c r="G10" s="58"/>
      <c r="H10" s="58"/>
      <c r="I10" s="58"/>
      <c r="J10" s="16"/>
    </row>
    <row r="11" spans="1:10" x14ac:dyDescent="0.25">
      <c r="A11" s="16"/>
      <c r="B11" s="58"/>
      <c r="C11" s="185" t="s">
        <v>449</v>
      </c>
      <c r="D11" s="186"/>
      <c r="E11" s="186"/>
      <c r="F11" s="186"/>
      <c r="G11" s="187"/>
      <c r="H11" s="82"/>
      <c r="I11" s="58"/>
      <c r="J11" s="16"/>
    </row>
    <row r="12" spans="1:10" ht="7.2" customHeight="1" x14ac:dyDescent="0.35">
      <c r="A12" s="16"/>
      <c r="B12" s="58"/>
      <c r="C12" s="22"/>
      <c r="D12" s="21"/>
      <c r="E12" s="58"/>
      <c r="F12" s="58"/>
      <c r="G12" s="58"/>
      <c r="H12" s="58"/>
      <c r="I12" s="58"/>
      <c r="J12" s="16"/>
    </row>
    <row r="13" spans="1:10" ht="6" customHeight="1" x14ac:dyDescent="0.35">
      <c r="A13" s="16"/>
      <c r="B13" s="61"/>
      <c r="C13" s="23"/>
      <c r="D13" s="24"/>
      <c r="E13" s="61"/>
      <c r="F13" s="61"/>
      <c r="G13" s="61"/>
      <c r="H13" s="61"/>
      <c r="I13" s="61"/>
      <c r="J13" s="16"/>
    </row>
    <row r="14" spans="1:10" ht="10.199999999999999" customHeight="1" x14ac:dyDescent="0.35">
      <c r="A14" s="16"/>
      <c r="B14" s="58"/>
      <c r="C14" s="22"/>
      <c r="D14" s="21"/>
      <c r="E14" s="58"/>
      <c r="F14" s="58"/>
      <c r="G14" s="58"/>
      <c r="H14" s="58"/>
      <c r="I14" s="58"/>
      <c r="J14" s="16"/>
    </row>
    <row r="15" spans="1:10" ht="14.1" customHeight="1" x14ac:dyDescent="0.35">
      <c r="A15" s="16"/>
      <c r="B15" s="58"/>
      <c r="C15" s="25" t="s">
        <v>58</v>
      </c>
      <c r="D15" s="26"/>
      <c r="E15" s="62"/>
      <c r="F15" s="62"/>
      <c r="G15" s="58"/>
      <c r="H15" s="58"/>
      <c r="I15" s="58"/>
      <c r="J15" s="16"/>
    </row>
    <row r="16" spans="1:10" ht="14.1" customHeight="1" x14ac:dyDescent="0.35">
      <c r="A16" s="16"/>
      <c r="B16" s="58"/>
      <c r="C16" s="22"/>
      <c r="D16" s="21"/>
      <c r="E16" s="58"/>
      <c r="F16" s="58"/>
      <c r="G16" s="58"/>
      <c r="H16" s="58"/>
      <c r="I16" s="58"/>
      <c r="J16" s="16"/>
    </row>
    <row r="17" spans="1:10" ht="14.1" customHeight="1" x14ac:dyDescent="0.35">
      <c r="A17" s="16"/>
      <c r="B17" s="58"/>
      <c r="C17" s="22" t="s">
        <v>31</v>
      </c>
      <c r="D17" s="21"/>
      <c r="E17" s="58"/>
      <c r="F17" s="58"/>
      <c r="G17" s="58"/>
      <c r="H17" s="58"/>
      <c r="I17" s="58"/>
      <c r="J17" s="16"/>
    </row>
    <row r="18" spans="1:10" ht="14.1" customHeight="1" x14ac:dyDescent="0.35">
      <c r="A18" s="16"/>
      <c r="B18" s="58"/>
      <c r="C18" s="22"/>
      <c r="D18" s="21"/>
      <c r="E18" s="58"/>
      <c r="F18" s="58"/>
      <c r="G18" s="82"/>
      <c r="H18" s="58"/>
      <c r="I18" s="60">
        <f>Parametres!C40</f>
        <v>0.34</v>
      </c>
      <c r="J18" s="16"/>
    </row>
    <row r="19" spans="1:10" ht="13.95" customHeight="1" x14ac:dyDescent="0.25">
      <c r="A19" s="16"/>
      <c r="B19" s="58"/>
      <c r="C19" s="27" t="s">
        <v>68</v>
      </c>
      <c r="D19" s="31"/>
      <c r="E19" s="50"/>
      <c r="F19" s="60"/>
      <c r="G19" s="130"/>
      <c r="H19" s="79"/>
      <c r="I19" s="58"/>
      <c r="J19" s="16"/>
    </row>
    <row r="20" spans="1:10" ht="14.1" customHeight="1" x14ac:dyDescent="0.35">
      <c r="A20" s="16"/>
      <c r="B20" s="58"/>
      <c r="C20" s="22"/>
      <c r="D20" s="21"/>
      <c r="E20" s="58"/>
      <c r="F20" s="58"/>
      <c r="G20" s="82"/>
      <c r="I20" s="60">
        <f>Parametres!C42</f>
        <v>17</v>
      </c>
      <c r="J20" s="16"/>
    </row>
    <row r="21" spans="1:10" ht="14.1" customHeight="1" x14ac:dyDescent="0.25">
      <c r="A21" s="16"/>
      <c r="B21" s="58"/>
      <c r="C21" s="27" t="s">
        <v>382</v>
      </c>
      <c r="G21" s="131"/>
      <c r="H21" s="58"/>
      <c r="I21" s="58"/>
      <c r="J21" s="16"/>
    </row>
    <row r="22" spans="1:10" ht="18" customHeight="1" x14ac:dyDescent="0.25">
      <c r="A22" s="16"/>
      <c r="B22" s="58"/>
      <c r="C22" s="27"/>
      <c r="D22" s="118" t="str">
        <f>IF(OR(AND(Parametres!C42=1,E23&gt;5000),AND(Parametres!C42=2,E23&lt;5000),AND(Parametres!C42=4,E23&gt;10000),AND(Parametres!C42=5,E23&lt;10000),AND(Parametres!C42=6,E23&gt;10000),AND(Parametres!C42=7,E23&lt;10000)),"Le type d'établissement ne convient pas avec la taille","")</f>
        <v/>
      </c>
      <c r="E22" s="50"/>
      <c r="G22" s="82"/>
      <c r="H22" s="58"/>
      <c r="I22" s="58"/>
      <c r="J22" s="16"/>
    </row>
    <row r="23" spans="1:10" ht="14.1" customHeight="1" x14ac:dyDescent="0.25">
      <c r="A23" s="16"/>
      <c r="B23" s="58"/>
      <c r="C23" s="27" t="s">
        <v>226</v>
      </c>
      <c r="E23" s="111">
        <v>4183</v>
      </c>
      <c r="F23" s="18" t="str">
        <f>INDEX(Parametres!B62:B79,Parametres!C42)</f>
        <v>m²</v>
      </c>
      <c r="G23" s="58"/>
      <c r="H23" s="58"/>
      <c r="I23" s="58"/>
      <c r="J23" s="16"/>
    </row>
    <row r="24" spans="1:10" ht="12.6" customHeight="1" x14ac:dyDescent="0.25">
      <c r="A24" s="16"/>
      <c r="B24" s="58"/>
      <c r="C24" s="27"/>
      <c r="E24" s="110"/>
      <c r="F24" s="18" t="str">
        <f>IF(Parametres!C42=18,"logements entre 55 et 104 m2","")</f>
        <v/>
      </c>
      <c r="G24" s="58"/>
      <c r="H24" s="58"/>
      <c r="I24" s="58"/>
      <c r="J24" s="16"/>
    </row>
    <row r="25" spans="1:10" ht="12.6" customHeight="1" x14ac:dyDescent="0.25">
      <c r="A25" s="16"/>
      <c r="B25" s="58"/>
      <c r="E25" s="110">
        <v>32</v>
      </c>
      <c r="F25" s="18" t="str">
        <f>IF(Parametres!C42=18,"logements entre 104 et 125 m2","")</f>
        <v/>
      </c>
      <c r="G25" s="58"/>
      <c r="H25" s="58"/>
      <c r="I25" s="58"/>
      <c r="J25" s="16"/>
    </row>
    <row r="26" spans="1:10" ht="12.6" customHeight="1" x14ac:dyDescent="0.25">
      <c r="A26" s="16"/>
      <c r="B26" s="58"/>
      <c r="C26" s="27"/>
      <c r="E26" s="110">
        <v>0</v>
      </c>
      <c r="F26" s="18" t="str">
        <f>IF(Parametres!$C$42=18,"logements &gt; 125 m2","")</f>
        <v/>
      </c>
      <c r="G26" s="58"/>
      <c r="H26" s="58"/>
      <c r="I26" s="58"/>
      <c r="J26" s="16"/>
    </row>
    <row r="27" spans="1:10" ht="14.1" customHeight="1" thickBot="1" x14ac:dyDescent="0.3">
      <c r="A27" s="16"/>
      <c r="B27" s="58"/>
      <c r="C27" s="27" t="s">
        <v>65</v>
      </c>
      <c r="E27" s="19" t="s">
        <v>234</v>
      </c>
      <c r="F27" s="19" t="s">
        <v>233</v>
      </c>
      <c r="G27" s="58"/>
      <c r="H27" s="58"/>
      <c r="I27" s="58"/>
      <c r="J27" s="16"/>
    </row>
    <row r="28" spans="1:10" ht="14.1" customHeight="1" thickBot="1" x14ac:dyDescent="0.3">
      <c r="A28" s="16"/>
      <c r="B28" s="58"/>
      <c r="C28" s="27"/>
      <c r="D28" s="44" t="s">
        <v>32</v>
      </c>
      <c r="E28" s="156">
        <v>559970</v>
      </c>
      <c r="F28" s="157">
        <f>IF(I20=18,E23*Parametres!E60+E24*Parametres!E61+E25*Parametres!E62+E26*Parametres!E63,(INDEX(Parametres!D43:D59,Parametres!$C$42)*E23+INDEX(Parametres!E43:E59,Parametres!$C$42))*1000)*INDEX(Parametres!C86:C87,Parametres!C85)</f>
        <v>559118.62783501635</v>
      </c>
      <c r="G28" s="59" t="s">
        <v>3</v>
      </c>
      <c r="H28" s="59"/>
      <c r="I28" s="58"/>
      <c r="J28" s="16"/>
    </row>
    <row r="29" spans="1:10" ht="14.1" customHeight="1" x14ac:dyDescent="0.25">
      <c r="A29" s="16"/>
      <c r="B29" s="58"/>
      <c r="C29" s="30" t="s">
        <v>34</v>
      </c>
      <c r="D29" s="29"/>
      <c r="E29" s="50"/>
      <c r="F29" s="58"/>
      <c r="G29" s="58"/>
      <c r="H29" s="58"/>
      <c r="I29" s="58"/>
      <c r="J29" s="16"/>
    </row>
    <row r="30" spans="1:10" ht="14.1" customHeight="1" x14ac:dyDescent="0.3">
      <c r="A30" s="16"/>
      <c r="B30" s="58"/>
      <c r="C30" s="27"/>
      <c r="D30" s="44" t="s">
        <v>33</v>
      </c>
      <c r="E30" s="55">
        <v>0</v>
      </c>
      <c r="F30" s="59" t="s">
        <v>12</v>
      </c>
      <c r="G30" s="174" t="s">
        <v>405</v>
      </c>
      <c r="H30" s="175"/>
      <c r="I30" s="176"/>
      <c r="J30" s="16"/>
    </row>
    <row r="31" spans="1:10" ht="14.1" customHeight="1" x14ac:dyDescent="0.25">
      <c r="A31" s="16"/>
      <c r="B31" s="58"/>
      <c r="C31" s="30" t="s">
        <v>36</v>
      </c>
      <c r="D31" s="29"/>
      <c r="E31" s="50"/>
      <c r="F31" s="58"/>
      <c r="G31" s="177"/>
      <c r="H31" s="178"/>
      <c r="I31" s="179"/>
      <c r="J31" s="16"/>
    </row>
    <row r="32" spans="1:10" ht="14.1" customHeight="1" x14ac:dyDescent="0.25">
      <c r="A32" s="16"/>
      <c r="B32" s="58"/>
      <c r="C32" s="27"/>
      <c r="D32" s="44" t="s">
        <v>35</v>
      </c>
      <c r="E32" s="55">
        <v>10</v>
      </c>
      <c r="F32" s="59" t="s">
        <v>12</v>
      </c>
      <c r="G32" s="177"/>
      <c r="H32" s="178"/>
      <c r="I32" s="179"/>
      <c r="J32" s="16"/>
    </row>
    <row r="33" spans="1:10" ht="14.1" customHeight="1" x14ac:dyDescent="0.25">
      <c r="A33" s="16"/>
      <c r="B33" s="58"/>
      <c r="C33" s="30" t="s">
        <v>48</v>
      </c>
      <c r="D33" s="44"/>
      <c r="E33" s="50"/>
      <c r="F33" s="58"/>
      <c r="G33" s="177"/>
      <c r="H33" s="178"/>
      <c r="I33" s="179"/>
      <c r="J33" s="16"/>
    </row>
    <row r="34" spans="1:10" ht="14.1" customHeight="1" x14ac:dyDescent="0.25">
      <c r="A34" s="16"/>
      <c r="B34" s="58"/>
      <c r="C34" s="27"/>
      <c r="D34" s="45" t="s">
        <v>56</v>
      </c>
      <c r="E34" s="55">
        <v>0</v>
      </c>
      <c r="F34" s="59" t="s">
        <v>12</v>
      </c>
      <c r="G34" s="177"/>
      <c r="H34" s="178"/>
      <c r="I34" s="179"/>
      <c r="J34" s="16"/>
    </row>
    <row r="35" spans="1:10" ht="14.1" customHeight="1" x14ac:dyDescent="0.25">
      <c r="A35" s="16"/>
      <c r="B35" s="58"/>
      <c r="C35" s="30" t="s">
        <v>406</v>
      </c>
      <c r="D35" s="44"/>
      <c r="E35" s="50"/>
      <c r="F35" s="58"/>
      <c r="G35" s="177"/>
      <c r="H35" s="178"/>
      <c r="I35" s="179"/>
      <c r="J35" s="16"/>
    </row>
    <row r="36" spans="1:10" ht="14.1" customHeight="1" x14ac:dyDescent="0.3">
      <c r="A36" s="16"/>
      <c r="B36" s="58"/>
      <c r="C36" s="30"/>
      <c r="D36" s="45" t="s">
        <v>37</v>
      </c>
      <c r="E36" s="55">
        <v>85</v>
      </c>
      <c r="F36" s="59" t="s">
        <v>12</v>
      </c>
      <c r="G36" s="177"/>
      <c r="H36" s="178"/>
      <c r="I36" s="179"/>
      <c r="J36" s="16"/>
    </row>
    <row r="37" spans="1:10" ht="14.1" customHeight="1" x14ac:dyDescent="0.25">
      <c r="A37" s="16"/>
      <c r="B37" s="58"/>
      <c r="C37" s="30" t="s">
        <v>97</v>
      </c>
      <c r="E37" s="50"/>
      <c r="F37" s="58"/>
      <c r="G37" s="180"/>
      <c r="H37" s="181"/>
      <c r="I37" s="182"/>
      <c r="J37" s="32"/>
    </row>
    <row r="38" spans="1:10" ht="14.1" customHeight="1" x14ac:dyDescent="0.3">
      <c r="A38" s="16"/>
      <c r="B38" s="58"/>
      <c r="C38" s="58"/>
      <c r="D38" s="44" t="s">
        <v>328</v>
      </c>
      <c r="E38" s="132">
        <f>IF(E28=0,F28,E28)*(1-E30/100)*(1-E32/100)*(1+E34/100)*E36/100</f>
        <v>428377.05</v>
      </c>
      <c r="F38" s="58" t="s">
        <v>3</v>
      </c>
      <c r="G38" s="158"/>
      <c r="H38" s="158"/>
      <c r="I38" s="158"/>
      <c r="J38" s="16"/>
    </row>
    <row r="39" spans="1:10" ht="13.95" customHeight="1" x14ac:dyDescent="0.25">
      <c r="A39" s="16"/>
      <c r="B39" s="58"/>
      <c r="C39" s="58"/>
      <c r="D39" s="44"/>
      <c r="E39" s="58"/>
      <c r="F39" s="58"/>
      <c r="G39" s="58"/>
      <c r="H39" s="58"/>
      <c r="I39" s="58"/>
      <c r="J39" s="16"/>
    </row>
    <row r="40" spans="1:10" ht="14.1" customHeight="1" x14ac:dyDescent="0.25">
      <c r="A40" s="16"/>
      <c r="B40" s="58"/>
      <c r="C40" s="22" t="s">
        <v>28</v>
      </c>
      <c r="E40" s="50"/>
      <c r="F40" s="58"/>
      <c r="G40" s="58"/>
      <c r="H40" s="58"/>
      <c r="I40" s="58"/>
      <c r="J40" s="16"/>
    </row>
    <row r="41" spans="1:10" ht="14.1" customHeight="1" x14ac:dyDescent="0.25">
      <c r="A41" s="16"/>
      <c r="B41" s="58"/>
      <c r="C41" s="58"/>
      <c r="E41" s="50"/>
      <c r="F41" s="58"/>
      <c r="G41" s="58"/>
      <c r="H41" s="58"/>
      <c r="I41" s="58"/>
      <c r="J41" s="16"/>
    </row>
    <row r="42" spans="1:10" ht="14.1" customHeight="1" x14ac:dyDescent="0.25">
      <c r="A42" s="16"/>
      <c r="B42" s="58"/>
      <c r="C42" s="30" t="s">
        <v>13</v>
      </c>
      <c r="E42" s="50"/>
      <c r="F42" s="58"/>
      <c r="G42" s="58"/>
      <c r="H42" s="58"/>
      <c r="I42" s="58"/>
      <c r="J42" s="16"/>
    </row>
    <row r="43" spans="1:10" ht="99.9" customHeight="1" x14ac:dyDescent="0.25">
      <c r="A43" s="16"/>
      <c r="B43" s="58"/>
      <c r="C43" s="30"/>
      <c r="E43" s="50"/>
      <c r="F43" s="58"/>
      <c r="G43" s="58"/>
      <c r="H43" s="58"/>
      <c r="I43" s="58"/>
      <c r="J43" s="16"/>
    </row>
    <row r="44" spans="1:10" ht="13.95" customHeight="1" x14ac:dyDescent="0.25">
      <c r="A44" s="16"/>
      <c r="B44" s="58"/>
      <c r="C44" s="30"/>
      <c r="E44" s="50"/>
      <c r="F44" s="58"/>
      <c r="G44" s="58"/>
      <c r="H44" s="58"/>
      <c r="I44" s="58"/>
      <c r="J44" s="16"/>
    </row>
    <row r="45" spans="1:10" ht="14.1" customHeight="1" x14ac:dyDescent="0.25">
      <c r="A45" s="16"/>
      <c r="B45" s="58"/>
      <c r="C45" s="30" t="s">
        <v>269</v>
      </c>
      <c r="D45" s="44" t="s">
        <v>271</v>
      </c>
      <c r="E45" s="133">
        <f>INDEX(Parametres!C81:C83,Parametres!C80)</f>
        <v>1.1803240290393977</v>
      </c>
      <c r="F45" s="58" t="s">
        <v>270</v>
      </c>
      <c r="G45" s="58"/>
      <c r="H45" s="58"/>
      <c r="I45" s="58"/>
      <c r="J45" s="16"/>
    </row>
    <row r="46" spans="1:10" ht="14.1" customHeight="1" x14ac:dyDescent="0.25">
      <c r="A46" s="16"/>
      <c r="B46" s="58"/>
      <c r="C46" s="30"/>
      <c r="D46" s="30"/>
      <c r="E46" s="30"/>
      <c r="F46" s="30"/>
      <c r="G46" s="30"/>
      <c r="H46" s="30"/>
      <c r="I46" s="58"/>
      <c r="J46" s="16"/>
    </row>
    <row r="47" spans="1:10" ht="14.1" customHeight="1" x14ac:dyDescent="0.25">
      <c r="A47" s="16"/>
      <c r="B47" s="58"/>
      <c r="C47" s="30" t="s">
        <v>195</v>
      </c>
      <c r="G47" s="58"/>
      <c r="H47" s="58"/>
      <c r="I47" s="58"/>
      <c r="J47" s="16"/>
    </row>
    <row r="48" spans="1:10" ht="14.1" customHeight="1" x14ac:dyDescent="0.3">
      <c r="A48" s="16"/>
      <c r="B48" s="58"/>
      <c r="C48" s="30"/>
      <c r="D48" s="44" t="s">
        <v>140</v>
      </c>
      <c r="E48" s="132">
        <f>INDEX(Parametres!$C$15:$C$21,Parametres!$C$5)</f>
        <v>3687.2790967878404</v>
      </c>
      <c r="F48" s="58" t="s">
        <v>201</v>
      </c>
      <c r="G48" s="58"/>
      <c r="H48" s="58"/>
      <c r="I48" s="58"/>
      <c r="J48" s="16"/>
    </row>
    <row r="49" spans="1:10" ht="14.1" customHeight="1" x14ac:dyDescent="0.25">
      <c r="A49" s="16"/>
      <c r="B49" s="58"/>
      <c r="C49" s="30" t="s">
        <v>47</v>
      </c>
      <c r="D49" s="44"/>
      <c r="E49" s="50"/>
      <c r="F49" s="58"/>
      <c r="G49" s="58"/>
      <c r="H49" s="58"/>
      <c r="I49" s="58"/>
      <c r="J49" s="16"/>
    </row>
    <row r="50" spans="1:10" ht="14.1" customHeight="1" x14ac:dyDescent="0.3">
      <c r="A50" s="16"/>
      <c r="B50" s="58"/>
      <c r="C50" s="30"/>
      <c r="D50" s="31" t="s">
        <v>141</v>
      </c>
      <c r="E50" s="132">
        <f>INDEX(Parametres!D15:F21,Parametres!$C$5,Parametres!C80)</f>
        <v>5230.0000000009495</v>
      </c>
      <c r="F50" s="58" t="s">
        <v>201</v>
      </c>
      <c r="G50" s="58"/>
      <c r="H50" s="58"/>
      <c r="I50" s="58"/>
      <c r="J50" s="16"/>
    </row>
    <row r="51" spans="1:10" ht="14.1" customHeight="1" x14ac:dyDescent="0.25">
      <c r="A51" s="16"/>
      <c r="B51" s="58"/>
      <c r="C51" s="30" t="s">
        <v>196</v>
      </c>
      <c r="D51" s="44"/>
      <c r="E51" s="50"/>
      <c r="F51" s="58"/>
      <c r="G51" s="58"/>
      <c r="H51" s="58"/>
      <c r="I51" s="58"/>
      <c r="J51" s="16"/>
    </row>
    <row r="52" spans="1:10" ht="14.1" customHeight="1" x14ac:dyDescent="0.3">
      <c r="A52" s="16"/>
      <c r="B52" s="58"/>
      <c r="C52" s="30"/>
      <c r="D52" s="44" t="s">
        <v>142</v>
      </c>
      <c r="E52" s="133">
        <f>INDEX(Parametres!G15:G21,Parametres!$C$5)</f>
        <v>40.069873416770456</v>
      </c>
      <c r="F52" s="58" t="s">
        <v>12</v>
      </c>
      <c r="G52" s="58"/>
      <c r="H52" s="58"/>
      <c r="I52" s="58"/>
      <c r="J52" s="16"/>
    </row>
    <row r="53" spans="1:10" ht="13.95" customHeight="1" x14ac:dyDescent="0.25">
      <c r="A53" s="16"/>
      <c r="B53" s="58"/>
      <c r="C53" s="58"/>
      <c r="E53" s="51"/>
      <c r="F53" s="58"/>
      <c r="G53" s="58"/>
      <c r="H53" s="58"/>
      <c r="I53" s="58"/>
      <c r="J53" s="16"/>
    </row>
    <row r="54" spans="1:10" ht="14.1" customHeight="1" x14ac:dyDescent="0.25">
      <c r="A54" s="16"/>
      <c r="B54" s="58"/>
      <c r="C54" s="22" t="s">
        <v>29</v>
      </c>
      <c r="E54" s="51"/>
      <c r="F54" s="58"/>
      <c r="G54" s="58"/>
      <c r="H54" s="58"/>
      <c r="I54" s="58"/>
      <c r="J54" s="16"/>
    </row>
    <row r="55" spans="1:10" ht="14.1" customHeight="1" x14ac:dyDescent="0.25">
      <c r="A55" s="16"/>
      <c r="B55" s="58"/>
      <c r="C55" s="58"/>
      <c r="E55" s="51"/>
      <c r="F55" s="58"/>
      <c r="G55" s="58"/>
      <c r="H55" s="58"/>
      <c r="I55" s="58"/>
      <c r="J55" s="16"/>
    </row>
    <row r="56" spans="1:10" ht="14.1" customHeight="1" x14ac:dyDescent="0.25">
      <c r="A56" s="16"/>
      <c r="B56" s="58"/>
      <c r="C56" s="30" t="s">
        <v>98</v>
      </c>
      <c r="G56" s="58"/>
      <c r="H56" s="58"/>
      <c r="I56" s="58"/>
      <c r="J56" s="16"/>
    </row>
    <row r="57" spans="1:10" ht="14.1" customHeight="1" x14ac:dyDescent="0.3">
      <c r="A57" s="16"/>
      <c r="B57" s="58"/>
      <c r="C57" s="30"/>
      <c r="D57" s="44" t="s">
        <v>99</v>
      </c>
      <c r="E57" s="133">
        <f>IF((E38*E52/100/E48*(1-E59/100))&lt;10,0,E38*E52/100/E48*(1-E59/100))</f>
        <v>46.55197970531384</v>
      </c>
      <c r="F57" s="58" t="s">
        <v>147</v>
      </c>
      <c r="G57" s="153" t="str">
        <f>IF(E57=0,"Besoins de chaleur insuffisants","")</f>
        <v/>
      </c>
      <c r="H57" s="58"/>
      <c r="I57" s="58"/>
      <c r="J57" s="16"/>
    </row>
    <row r="58" spans="1:10" ht="14.1" customHeight="1" x14ac:dyDescent="0.25">
      <c r="A58" s="16"/>
      <c r="B58" s="58"/>
      <c r="C58" s="30" t="s">
        <v>124</v>
      </c>
      <c r="D58" s="44"/>
      <c r="E58" s="58"/>
      <c r="F58" s="58"/>
      <c r="G58" s="58"/>
      <c r="H58" s="58"/>
      <c r="I58" s="58"/>
      <c r="J58" s="16"/>
    </row>
    <row r="59" spans="1:10" ht="14.1" customHeight="1" x14ac:dyDescent="0.3">
      <c r="A59" s="16"/>
      <c r="B59" s="58"/>
      <c r="C59" s="30"/>
      <c r="D59" s="44" t="s">
        <v>128</v>
      </c>
      <c r="E59" s="55">
        <v>0</v>
      </c>
      <c r="F59" s="59" t="s">
        <v>12</v>
      </c>
      <c r="G59" s="58"/>
      <c r="H59" s="58"/>
      <c r="I59" s="58"/>
      <c r="J59" s="16"/>
    </row>
    <row r="60" spans="1:10" ht="14.1" customHeight="1" x14ac:dyDescent="0.25">
      <c r="A60" s="16"/>
      <c r="B60" s="58"/>
      <c r="C60" s="30" t="s">
        <v>100</v>
      </c>
      <c r="D60" s="33"/>
      <c r="E60" s="51"/>
      <c r="F60" s="58"/>
      <c r="G60" s="58"/>
      <c r="H60" s="58"/>
      <c r="I60" s="58"/>
      <c r="J60" s="16"/>
    </row>
    <row r="61" spans="1:10" ht="14.1" customHeight="1" x14ac:dyDescent="0.3">
      <c r="A61" s="16"/>
      <c r="B61" s="58"/>
      <c r="C61" s="30"/>
      <c r="D61" s="44" t="s">
        <v>101</v>
      </c>
      <c r="E61" s="132">
        <f>E57*E50</f>
        <v>243466.85385883559</v>
      </c>
      <c r="F61" s="58" t="s">
        <v>200</v>
      </c>
      <c r="G61" s="58"/>
      <c r="H61" s="58"/>
      <c r="I61" s="58"/>
      <c r="J61" s="16"/>
    </row>
    <row r="62" spans="1:10" ht="13.95" customHeight="1" x14ac:dyDescent="0.25">
      <c r="A62" s="16"/>
      <c r="B62" s="58"/>
      <c r="C62" s="30" t="s">
        <v>192</v>
      </c>
      <c r="E62" s="51"/>
      <c r="F62" s="58"/>
      <c r="G62" s="58"/>
      <c r="H62" s="58"/>
      <c r="I62" s="58"/>
      <c r="J62" s="16"/>
    </row>
    <row r="63" spans="1:10" ht="147" customHeight="1" x14ac:dyDescent="0.25">
      <c r="A63" s="16"/>
      <c r="B63" s="58"/>
      <c r="C63" s="58"/>
      <c r="E63" s="51"/>
      <c r="F63" s="58"/>
      <c r="G63" s="58"/>
      <c r="H63" s="58"/>
      <c r="I63" s="58"/>
      <c r="J63" s="16"/>
    </row>
    <row r="64" spans="1:10" ht="17.7" customHeight="1" x14ac:dyDescent="0.25">
      <c r="A64" s="16"/>
      <c r="B64" s="58"/>
      <c r="C64" s="58"/>
      <c r="E64" s="51"/>
      <c r="F64" s="58"/>
      <c r="G64" s="58"/>
      <c r="H64" s="58"/>
      <c r="I64" s="58"/>
      <c r="J64" s="16"/>
    </row>
    <row r="65" spans="1:10" ht="6" customHeight="1" x14ac:dyDescent="0.25">
      <c r="A65" s="16"/>
      <c r="B65" s="16"/>
      <c r="C65" s="16"/>
      <c r="D65" s="16"/>
      <c r="E65" s="16"/>
      <c r="F65" s="16"/>
      <c r="G65" s="16"/>
      <c r="H65" s="16"/>
      <c r="I65" s="16"/>
      <c r="J65" s="16"/>
    </row>
    <row r="66" spans="1:10" ht="7.2" customHeight="1" x14ac:dyDescent="0.25">
      <c r="A66" s="16"/>
      <c r="B66" s="117"/>
      <c r="C66" s="117"/>
      <c r="D66" s="117"/>
      <c r="E66" s="117"/>
      <c r="F66" s="117"/>
      <c r="G66" s="117"/>
      <c r="H66" s="117"/>
      <c r="I66" s="117"/>
      <c r="J66" s="16"/>
    </row>
    <row r="67" spans="1:10" ht="13.95" customHeight="1" x14ac:dyDescent="0.25">
      <c r="A67" s="16"/>
      <c r="B67" s="58"/>
      <c r="C67" s="65" t="s">
        <v>30</v>
      </c>
      <c r="E67" s="51"/>
      <c r="F67" s="58"/>
      <c r="G67" s="58"/>
      <c r="H67" s="58"/>
      <c r="I67" s="58"/>
      <c r="J67" s="16"/>
    </row>
    <row r="68" spans="1:10" ht="13.95" customHeight="1" x14ac:dyDescent="0.25">
      <c r="A68" s="16"/>
      <c r="B68" s="58"/>
      <c r="C68" s="58"/>
      <c r="D68" s="58"/>
      <c r="E68" s="50"/>
      <c r="F68" s="58"/>
      <c r="G68" s="58"/>
      <c r="H68" s="58"/>
      <c r="I68" s="58"/>
      <c r="J68" s="16"/>
    </row>
    <row r="69" spans="1:10" ht="13.95" customHeight="1" x14ac:dyDescent="0.25">
      <c r="A69" s="16"/>
      <c r="B69" s="58"/>
      <c r="C69" s="30" t="s">
        <v>0</v>
      </c>
      <c r="D69" s="58"/>
      <c r="E69" s="50"/>
      <c r="F69" s="60">
        <v>1</v>
      </c>
      <c r="G69" s="58"/>
      <c r="H69" s="58"/>
      <c r="I69" s="58"/>
      <c r="J69" s="16"/>
    </row>
    <row r="70" spans="1:10" ht="13.95" customHeight="1" x14ac:dyDescent="0.25">
      <c r="A70" s="16"/>
      <c r="B70" s="58"/>
      <c r="C70" s="30"/>
      <c r="D70" s="31"/>
      <c r="E70" s="50"/>
      <c r="F70" s="58"/>
      <c r="G70" s="58"/>
      <c r="H70" s="58"/>
      <c r="I70" s="58"/>
      <c r="J70" s="16"/>
    </row>
    <row r="71" spans="1:10" ht="13.95" customHeight="1" x14ac:dyDescent="0.25">
      <c r="A71" s="16"/>
      <c r="B71" s="58"/>
      <c r="C71" s="30" t="s">
        <v>1</v>
      </c>
      <c r="G71" s="58"/>
      <c r="H71" s="58"/>
      <c r="I71" s="58"/>
      <c r="J71" s="16"/>
    </row>
    <row r="72" spans="1:10" ht="13.95" customHeight="1" x14ac:dyDescent="0.3">
      <c r="A72" s="16"/>
      <c r="B72" s="58"/>
      <c r="C72" s="30"/>
      <c r="D72" s="31" t="s">
        <v>173</v>
      </c>
      <c r="E72" s="133">
        <f>IF($E$57&lt;=Parametres!$E$29,(E57/Parametres!F29)^(1/Parametres!G29),(Parametres!$E$29/Parametres!F29)^(1/Parametres!G29)*$E$57/Parametres!$E$29)</f>
        <v>24.54326761903183</v>
      </c>
      <c r="F72" s="58" t="s">
        <v>148</v>
      </c>
      <c r="G72" s="58"/>
      <c r="H72" s="58"/>
      <c r="I72" s="58"/>
      <c r="J72" s="16"/>
    </row>
    <row r="73" spans="1:10" ht="13.95" customHeight="1" x14ac:dyDescent="0.25">
      <c r="A73" s="16"/>
      <c r="B73" s="58"/>
      <c r="C73" s="30" t="s">
        <v>2</v>
      </c>
      <c r="D73" s="31"/>
      <c r="E73" s="134"/>
      <c r="F73" s="58"/>
      <c r="G73" s="58"/>
      <c r="H73" s="58"/>
      <c r="I73" s="58"/>
      <c r="J73" s="16"/>
    </row>
    <row r="74" spans="1:10" ht="13.95" customHeight="1" x14ac:dyDescent="0.3">
      <c r="A74" s="16"/>
      <c r="B74" s="58"/>
      <c r="C74" s="30"/>
      <c r="D74" s="44" t="s">
        <v>329</v>
      </c>
      <c r="E74" s="133">
        <f>(Parametres!Q29*IF(E72&lt;=Parametres!H29,E72,Parametres!H29)^Parametres!R29)*100</f>
        <v>30.773401718669724</v>
      </c>
      <c r="F74" s="58" t="s">
        <v>12</v>
      </c>
      <c r="G74" s="58"/>
      <c r="H74" s="58"/>
      <c r="I74" s="58"/>
      <c r="J74" s="16"/>
    </row>
    <row r="75" spans="1:10" ht="13.95" customHeight="1" x14ac:dyDescent="0.25">
      <c r="A75" s="16"/>
      <c r="B75" s="58"/>
      <c r="C75" s="30" t="s">
        <v>135</v>
      </c>
      <c r="D75" s="31"/>
      <c r="E75" s="135"/>
      <c r="F75" s="58"/>
      <c r="G75" s="58"/>
      <c r="H75" s="58"/>
      <c r="I75" s="58"/>
      <c r="J75" s="16"/>
    </row>
    <row r="76" spans="1:10" ht="13.95" customHeight="1" x14ac:dyDescent="0.3">
      <c r="A76" s="16"/>
      <c r="B76" s="58"/>
      <c r="C76" s="30"/>
      <c r="D76" s="44" t="s">
        <v>136</v>
      </c>
      <c r="E76" s="133">
        <f>IF(E72=0,0,E57/(E72/E74))</f>
        <v>58.368868991189935</v>
      </c>
      <c r="F76" s="58" t="s">
        <v>12</v>
      </c>
      <c r="G76" s="58"/>
      <c r="H76" s="58"/>
      <c r="I76" s="58"/>
      <c r="J76" s="16"/>
    </row>
    <row r="77" spans="1:10" ht="13.95" customHeight="1" x14ac:dyDescent="0.25">
      <c r="A77" s="16"/>
      <c r="B77" s="58"/>
      <c r="C77" s="30" t="s">
        <v>102</v>
      </c>
      <c r="D77" s="31"/>
      <c r="E77" s="134"/>
      <c r="F77" s="58"/>
      <c r="G77" s="58"/>
      <c r="H77" s="58"/>
      <c r="I77" s="58"/>
      <c r="J77" s="16"/>
    </row>
    <row r="78" spans="1:10" ht="13.95" customHeight="1" x14ac:dyDescent="0.3">
      <c r="A78" s="16"/>
      <c r="B78" s="58"/>
      <c r="C78" s="30"/>
      <c r="D78" s="44" t="s">
        <v>103</v>
      </c>
      <c r="E78" s="132">
        <f>E72*E50</f>
        <v>128361.28964755978</v>
      </c>
      <c r="F78" s="58" t="s">
        <v>149</v>
      </c>
      <c r="G78" s="58"/>
      <c r="H78" s="58"/>
      <c r="I78" s="58"/>
      <c r="J78" s="16"/>
    </row>
    <row r="79" spans="1:10" ht="12.6" customHeight="1" x14ac:dyDescent="0.25">
      <c r="A79" s="16"/>
      <c r="B79" s="58"/>
      <c r="C79" s="30"/>
      <c r="D79" s="31"/>
      <c r="E79" s="50"/>
      <c r="F79" s="58"/>
      <c r="G79" s="58"/>
      <c r="H79" s="58"/>
      <c r="I79" s="58"/>
      <c r="J79" s="16"/>
    </row>
    <row r="80" spans="1:10" ht="7.2" customHeight="1" x14ac:dyDescent="0.25">
      <c r="A80" s="16"/>
      <c r="B80" s="61"/>
      <c r="C80" s="66"/>
      <c r="D80" s="35"/>
      <c r="E80" s="52"/>
      <c r="F80" s="61"/>
      <c r="G80" s="61"/>
      <c r="H80" s="61"/>
      <c r="I80" s="61"/>
      <c r="J80" s="16"/>
    </row>
    <row r="81" spans="1:10" ht="13.95" customHeight="1" x14ac:dyDescent="0.25">
      <c r="A81" s="16"/>
      <c r="B81" s="58"/>
      <c r="C81" s="63"/>
      <c r="D81" s="34"/>
      <c r="E81" s="50"/>
      <c r="F81" s="58"/>
      <c r="G81" s="58"/>
      <c r="H81" s="58"/>
      <c r="I81" s="58"/>
      <c r="J81" s="16"/>
    </row>
    <row r="82" spans="1:10" ht="13.95" customHeight="1" x14ac:dyDescent="0.25">
      <c r="A82" s="16"/>
      <c r="B82" s="58"/>
      <c r="C82" s="25" t="s">
        <v>59</v>
      </c>
      <c r="D82" s="36"/>
      <c r="E82" s="53"/>
      <c r="F82" s="62"/>
      <c r="G82" s="58"/>
      <c r="H82" s="58"/>
      <c r="I82" s="58"/>
      <c r="J82" s="16"/>
    </row>
    <row r="83" spans="1:10" ht="13.95" customHeight="1" x14ac:dyDescent="0.25">
      <c r="A83" s="16"/>
      <c r="B83" s="58"/>
      <c r="C83" s="58"/>
      <c r="E83" s="50"/>
      <c r="F83" s="58"/>
      <c r="G83" s="58"/>
      <c r="H83" s="58"/>
      <c r="I83" s="58"/>
      <c r="J83" s="16"/>
    </row>
    <row r="84" spans="1:10" ht="13.95" customHeight="1" x14ac:dyDescent="0.25">
      <c r="A84" s="16"/>
      <c r="B84" s="58"/>
      <c r="C84" s="65" t="s">
        <v>63</v>
      </c>
      <c r="E84" s="50"/>
      <c r="F84" s="58"/>
      <c r="G84" s="58"/>
      <c r="H84" s="58"/>
      <c r="I84" s="58"/>
      <c r="J84" s="16"/>
    </row>
    <row r="85" spans="1:10" ht="13.95" customHeight="1" x14ac:dyDescent="0.25">
      <c r="A85" s="16"/>
      <c r="B85" s="58"/>
      <c r="C85" s="67"/>
      <c r="E85" s="50"/>
      <c r="F85" s="58"/>
      <c r="G85" s="58"/>
      <c r="H85" s="58"/>
      <c r="I85" s="58"/>
      <c r="J85" s="16"/>
    </row>
    <row r="86" spans="1:10" ht="13.95" customHeight="1" x14ac:dyDescent="0.25">
      <c r="A86" s="16"/>
      <c r="B86" s="58"/>
      <c r="C86" s="27" t="s">
        <v>235</v>
      </c>
      <c r="E86" s="19" t="s">
        <v>234</v>
      </c>
      <c r="F86" s="19" t="s">
        <v>233</v>
      </c>
      <c r="G86" s="58"/>
      <c r="H86" s="58"/>
      <c r="I86" s="58"/>
      <c r="J86" s="16"/>
    </row>
    <row r="87" spans="1:10" ht="13.95" customHeight="1" x14ac:dyDescent="0.3">
      <c r="A87" s="16"/>
      <c r="B87" s="58"/>
      <c r="C87" s="58"/>
      <c r="D87" s="44" t="s">
        <v>60</v>
      </c>
      <c r="E87" s="55">
        <v>240766</v>
      </c>
      <c r="F87" s="132">
        <f>IF(I20=18,E23*Parametres!G60+E24*Parametres!G61+E25*Parametres!G62+E26*Parametres!G63,(INDEX(Parametres!F43:F59,Parametres!C42)*E23+INDEX(Parametres!G43:G59,Parametres!C42))*1000)</f>
        <v>152312.06844199577</v>
      </c>
      <c r="G87" s="58" t="s">
        <v>199</v>
      </c>
      <c r="H87" s="171"/>
      <c r="I87" s="58"/>
      <c r="J87" s="16"/>
    </row>
    <row r="88" spans="1:10" ht="13.95" customHeight="1" x14ac:dyDescent="0.25">
      <c r="A88" s="16"/>
      <c r="B88" s="58"/>
      <c r="C88" s="27" t="s">
        <v>236</v>
      </c>
      <c r="E88" s="19" t="s">
        <v>234</v>
      </c>
      <c r="F88" s="19" t="s">
        <v>233</v>
      </c>
      <c r="G88" s="58"/>
      <c r="H88" s="58"/>
      <c r="I88" s="58"/>
      <c r="J88" s="16"/>
    </row>
    <row r="89" spans="1:10" ht="13.95" customHeight="1" x14ac:dyDescent="0.3">
      <c r="A89" s="16"/>
      <c r="B89" s="58"/>
      <c r="C89" s="58"/>
      <c r="D89" s="44" t="s">
        <v>61</v>
      </c>
      <c r="E89" s="55">
        <v>23900</v>
      </c>
      <c r="F89" s="132">
        <f>IF(I20=18,(Parametres!K63*LN(F87/SUM(E23:E26))+Parametres!K64)*F87/100,(Parametres!K63*LN(F87)+Parametres!K64)*F87/100)</f>
        <v>21502.007625585502</v>
      </c>
      <c r="G89" s="58" t="s">
        <v>62</v>
      </c>
      <c r="H89" s="58"/>
      <c r="I89" s="58"/>
      <c r="J89" s="16"/>
    </row>
    <row r="90" spans="1:10" ht="13.95" customHeight="1" x14ac:dyDescent="0.25">
      <c r="A90" s="16"/>
      <c r="B90" s="58"/>
      <c r="C90" s="27" t="s">
        <v>125</v>
      </c>
      <c r="E90" s="50"/>
      <c r="F90" s="58"/>
      <c r="G90" s="58"/>
      <c r="H90" s="58"/>
      <c r="I90" s="58"/>
      <c r="J90" s="16"/>
    </row>
    <row r="91" spans="1:10" ht="13.95" customHeight="1" x14ac:dyDescent="0.3">
      <c r="A91" s="16"/>
      <c r="B91" s="58"/>
      <c r="C91" s="27"/>
      <c r="D91" s="44" t="s">
        <v>126</v>
      </c>
      <c r="E91" s="137">
        <f>IF(OR(E87=0,E89=0),F89/(F87/1000),E89/(E87/1000))</f>
        <v>99.266507729496695</v>
      </c>
      <c r="F91" s="58" t="s">
        <v>139</v>
      </c>
      <c r="G91" s="58"/>
      <c r="H91" s="58"/>
      <c r="I91" s="58"/>
      <c r="J91" s="16"/>
    </row>
    <row r="92" spans="1:10" ht="13.95" customHeight="1" x14ac:dyDescent="0.25">
      <c r="A92" s="16"/>
      <c r="B92" s="58"/>
      <c r="C92" s="173" t="s">
        <v>447</v>
      </c>
      <c r="D92" s="44"/>
      <c r="E92" s="154"/>
      <c r="F92" s="19" t="s">
        <v>233</v>
      </c>
      <c r="G92" s="58"/>
      <c r="H92" s="58"/>
      <c r="I92" s="58"/>
      <c r="J92" s="16"/>
    </row>
    <row r="93" spans="1:10" ht="13.95" customHeight="1" x14ac:dyDescent="0.25">
      <c r="A93" s="16"/>
      <c r="B93" s="58"/>
      <c r="C93" s="173"/>
      <c r="D93" s="44"/>
      <c r="E93" s="170"/>
      <c r="F93" s="172">
        <f>MIN(E87/E78*E50/8760,1)</f>
        <v>1</v>
      </c>
      <c r="G93" s="58" t="s">
        <v>448</v>
      </c>
      <c r="H93" s="58"/>
      <c r="I93" s="58"/>
      <c r="J93" s="16"/>
    </row>
    <row r="94" spans="1:10" ht="13.95" customHeight="1" x14ac:dyDescent="0.25">
      <c r="A94" s="16"/>
      <c r="B94" s="58"/>
      <c r="C94" s="173" t="s">
        <v>445</v>
      </c>
      <c r="D94" s="44"/>
      <c r="E94" s="154"/>
      <c r="F94" s="58"/>
      <c r="G94" s="58"/>
      <c r="H94" s="58"/>
      <c r="I94" s="58"/>
      <c r="J94" s="16"/>
    </row>
    <row r="95" spans="1:10" ht="13.95" customHeight="1" x14ac:dyDescent="0.3">
      <c r="A95" s="16"/>
      <c r="B95" s="58"/>
      <c r="C95" s="173"/>
      <c r="D95" s="44" t="s">
        <v>399</v>
      </c>
      <c r="E95" s="167">
        <f>E78*IF(E93="",F93,E93)</f>
        <v>128361.28964755978</v>
      </c>
      <c r="F95" s="58" t="s">
        <v>149</v>
      </c>
      <c r="G95" s="169"/>
      <c r="H95" s="58"/>
      <c r="I95" s="58"/>
      <c r="J95" s="16"/>
    </row>
    <row r="96" spans="1:10" ht="13.95" customHeight="1" x14ac:dyDescent="0.25">
      <c r="A96" s="16"/>
      <c r="B96" s="58"/>
      <c r="C96" s="27" t="s">
        <v>400</v>
      </c>
      <c r="D96" s="44"/>
      <c r="E96" s="168"/>
      <c r="F96" s="58"/>
      <c r="G96" s="58"/>
      <c r="H96" s="58"/>
      <c r="I96" s="58"/>
      <c r="J96" s="16"/>
    </row>
    <row r="97" spans="1:13" ht="13.95" customHeight="1" x14ac:dyDescent="0.3">
      <c r="A97" s="16"/>
      <c r="B97" s="58"/>
      <c r="C97" s="27"/>
      <c r="D97" s="44" t="s">
        <v>401</v>
      </c>
      <c r="E97" s="167">
        <f>E78-E95</f>
        <v>0</v>
      </c>
      <c r="F97" s="58" t="s">
        <v>149</v>
      </c>
      <c r="G97" s="58"/>
      <c r="H97" s="58"/>
      <c r="I97" s="58"/>
      <c r="J97" s="16"/>
    </row>
    <row r="98" spans="1:13" ht="13.95" customHeight="1" x14ac:dyDescent="0.25">
      <c r="A98" s="16"/>
      <c r="B98" s="58"/>
      <c r="C98" s="27" t="s">
        <v>402</v>
      </c>
      <c r="D98" s="44"/>
      <c r="E98" s="155"/>
      <c r="F98" s="58"/>
      <c r="G98" s="58"/>
      <c r="H98" s="58"/>
      <c r="I98" s="58"/>
      <c r="J98" s="16"/>
    </row>
    <row r="99" spans="1:13" ht="13.95" customHeight="1" x14ac:dyDescent="0.3">
      <c r="A99" s="16"/>
      <c r="B99" s="58"/>
      <c r="C99" s="27"/>
      <c r="D99" s="44" t="s">
        <v>403</v>
      </c>
      <c r="E99" s="72">
        <v>40</v>
      </c>
      <c r="F99" s="58" t="s">
        <v>139</v>
      </c>
      <c r="G99" s="58"/>
      <c r="H99" s="58"/>
      <c r="I99" s="58"/>
      <c r="J99" s="16"/>
    </row>
    <row r="100" spans="1:13" ht="13.95" customHeight="1" x14ac:dyDescent="0.25">
      <c r="A100" s="16"/>
      <c r="B100" s="58"/>
      <c r="C100" s="27" t="s">
        <v>127</v>
      </c>
      <c r="D100" s="31"/>
      <c r="E100" s="57"/>
      <c r="F100" s="31"/>
      <c r="G100" s="58" t="s">
        <v>251</v>
      </c>
      <c r="H100" s="58" t="s">
        <v>331</v>
      </c>
      <c r="I100" s="58"/>
      <c r="J100" s="16"/>
    </row>
    <row r="101" spans="1:13" ht="13.95" customHeight="1" x14ac:dyDescent="0.3">
      <c r="A101" s="16"/>
      <c r="B101" s="58"/>
      <c r="D101" s="44" t="s">
        <v>404</v>
      </c>
      <c r="E101" s="138">
        <f>E95*E91/1000+E97*E99/1000</f>
        <v>12741.976950967657</v>
      </c>
      <c r="F101" s="58" t="s">
        <v>62</v>
      </c>
      <c r="G101" s="136"/>
      <c r="H101" s="133">
        <v>3</v>
      </c>
      <c r="I101" s="101" t="s">
        <v>252</v>
      </c>
      <c r="J101" s="16"/>
    </row>
    <row r="102" spans="1:13" ht="13.95" customHeight="1" x14ac:dyDescent="0.25">
      <c r="A102" s="16"/>
      <c r="B102" s="58"/>
      <c r="C102" s="58"/>
      <c r="E102" s="50"/>
      <c r="F102" s="58"/>
      <c r="G102" s="58"/>
      <c r="H102" s="58"/>
      <c r="I102" s="58"/>
      <c r="J102" s="16"/>
      <c r="K102" s="19"/>
      <c r="L102" s="19"/>
      <c r="M102" s="19"/>
    </row>
    <row r="103" spans="1:13" ht="13.95" customHeight="1" x14ac:dyDescent="0.25">
      <c r="A103" s="16"/>
      <c r="B103" s="58"/>
      <c r="C103" s="65" t="s">
        <v>64</v>
      </c>
      <c r="E103" s="50"/>
      <c r="F103" s="58"/>
      <c r="G103" s="58"/>
      <c r="H103" s="58"/>
      <c r="I103" s="58"/>
      <c r="J103" s="16"/>
      <c r="K103" s="38"/>
      <c r="L103" s="38"/>
      <c r="M103" s="38"/>
    </row>
    <row r="104" spans="1:13" ht="13.95" customHeight="1" x14ac:dyDescent="0.25">
      <c r="A104" s="16"/>
      <c r="B104" s="58"/>
      <c r="C104" s="67"/>
      <c r="E104" s="50"/>
      <c r="F104" s="58"/>
      <c r="G104" s="58"/>
      <c r="H104" s="58"/>
      <c r="I104" s="58"/>
      <c r="J104" s="16"/>
    </row>
    <row r="105" spans="1:13" ht="13.95" customHeight="1" x14ac:dyDescent="0.25">
      <c r="A105" s="16"/>
      <c r="B105" s="58"/>
      <c r="C105" s="27" t="s">
        <v>65</v>
      </c>
      <c r="G105" s="58"/>
      <c r="H105" s="58"/>
      <c r="I105" s="58"/>
      <c r="J105" s="16"/>
    </row>
    <row r="106" spans="1:13" ht="13.95" customHeight="1" x14ac:dyDescent="0.3">
      <c r="A106" s="16"/>
      <c r="B106" s="58"/>
      <c r="C106" s="58"/>
      <c r="D106" s="44" t="s">
        <v>32</v>
      </c>
      <c r="E106" s="132">
        <f>IF(E28=0,F28,E28)</f>
        <v>559970</v>
      </c>
      <c r="F106" s="58" t="s">
        <v>197</v>
      </c>
      <c r="G106" s="58"/>
      <c r="H106" s="58"/>
      <c r="I106" s="58"/>
      <c r="J106" s="16"/>
    </row>
    <row r="107" spans="1:13" ht="13.95" customHeight="1" x14ac:dyDescent="0.25">
      <c r="A107" s="16"/>
      <c r="B107" s="58"/>
      <c r="C107" s="27" t="s">
        <v>248</v>
      </c>
      <c r="E107" s="19" t="s">
        <v>234</v>
      </c>
      <c r="F107" s="19" t="s">
        <v>233</v>
      </c>
      <c r="G107" s="58"/>
      <c r="H107" s="58"/>
      <c r="I107" s="58"/>
      <c r="J107" s="16"/>
    </row>
    <row r="108" spans="1:13" ht="13.95" customHeight="1" x14ac:dyDescent="0.25">
      <c r="A108" s="16"/>
      <c r="B108" s="58"/>
      <c r="C108" s="58"/>
      <c r="D108" s="44" t="s">
        <v>67</v>
      </c>
      <c r="E108" s="55">
        <v>12927</v>
      </c>
      <c r="F108" s="132">
        <f>(Parametres!N63*LN(E106)+Parametres!N64)*E106/100</f>
        <v>25074.488898834119</v>
      </c>
      <c r="G108" s="58" t="s">
        <v>62</v>
      </c>
      <c r="H108" s="58"/>
      <c r="I108" s="58"/>
      <c r="J108" s="16"/>
    </row>
    <row r="109" spans="1:13" ht="13.95" customHeight="1" x14ac:dyDescent="0.25">
      <c r="A109" s="16"/>
      <c r="B109" s="58"/>
      <c r="C109" s="27" t="s">
        <v>66</v>
      </c>
      <c r="E109" s="50"/>
      <c r="F109" s="58"/>
      <c r="G109" s="58"/>
      <c r="H109" s="58"/>
      <c r="I109" s="58"/>
      <c r="J109" s="16"/>
    </row>
    <row r="110" spans="1:13" ht="13.95" customHeight="1" x14ac:dyDescent="0.3">
      <c r="A110" s="16"/>
      <c r="B110" s="58"/>
      <c r="C110" s="27"/>
      <c r="D110" s="44" t="s">
        <v>133</v>
      </c>
      <c r="E110" s="137">
        <f>IF(E108=0,F108,E108)/E106*1000</f>
        <v>23.085165276711251</v>
      </c>
      <c r="F110" s="58" t="s">
        <v>84</v>
      </c>
      <c r="G110" s="58"/>
      <c r="H110" s="58"/>
      <c r="I110" s="58"/>
      <c r="J110" s="16"/>
    </row>
    <row r="111" spans="1:13" ht="13.95" customHeight="1" x14ac:dyDescent="0.25">
      <c r="A111" s="16"/>
      <c r="B111" s="58"/>
      <c r="C111" s="27" t="s">
        <v>104</v>
      </c>
      <c r="D111" s="31"/>
      <c r="E111" s="57"/>
      <c r="F111" s="31"/>
      <c r="G111" s="58"/>
      <c r="H111" s="58"/>
      <c r="I111" s="58"/>
      <c r="J111" s="16"/>
    </row>
    <row r="112" spans="1:13" ht="13.95" customHeight="1" x14ac:dyDescent="0.3">
      <c r="A112" s="16"/>
      <c r="B112" s="58"/>
      <c r="C112" s="27"/>
      <c r="D112" s="44" t="s">
        <v>105</v>
      </c>
      <c r="E112" s="132">
        <f>E61/(E36/100)</f>
        <v>286431.59277510073</v>
      </c>
      <c r="F112" s="58" t="s">
        <v>198</v>
      </c>
      <c r="G112" s="58"/>
      <c r="H112" s="58"/>
      <c r="I112" s="58"/>
      <c r="J112" s="16"/>
    </row>
    <row r="113" spans="1:11" ht="13.95" customHeight="1" x14ac:dyDescent="0.25">
      <c r="A113" s="16"/>
      <c r="B113" s="58"/>
      <c r="C113" s="27" t="s">
        <v>137</v>
      </c>
      <c r="D113" s="31"/>
      <c r="E113" s="57"/>
      <c r="F113" s="31"/>
      <c r="G113" s="58" t="s">
        <v>251</v>
      </c>
      <c r="H113" s="58" t="s">
        <v>331</v>
      </c>
      <c r="I113" s="58"/>
      <c r="J113" s="16"/>
    </row>
    <row r="114" spans="1:11" ht="13.95" customHeight="1" x14ac:dyDescent="0.3">
      <c r="A114" s="16"/>
      <c r="B114" s="58"/>
      <c r="C114" s="58"/>
      <c r="D114" s="44" t="s">
        <v>134</v>
      </c>
      <c r="E114" s="138">
        <f>E112*E110/1000</f>
        <v>6612.3206596848531</v>
      </c>
      <c r="F114" s="58" t="s">
        <v>62</v>
      </c>
      <c r="G114" s="136"/>
      <c r="H114" s="133">
        <v>3</v>
      </c>
      <c r="I114" s="101" t="s">
        <v>252</v>
      </c>
      <c r="J114" s="16"/>
      <c r="K114" s="39"/>
    </row>
    <row r="115" spans="1:11" ht="20.100000000000001" customHeight="1" x14ac:dyDescent="0.25">
      <c r="A115" s="16"/>
      <c r="B115" s="58"/>
      <c r="C115" s="58"/>
      <c r="D115" s="44"/>
      <c r="E115" s="58"/>
      <c r="F115" s="58"/>
      <c r="G115" s="58"/>
      <c r="H115" s="58"/>
      <c r="I115" s="58"/>
      <c r="J115" s="17"/>
    </row>
    <row r="116" spans="1:11" ht="5.4" customHeight="1" x14ac:dyDescent="0.25">
      <c r="A116" s="16"/>
      <c r="B116" s="16"/>
      <c r="C116" s="16"/>
      <c r="D116" s="16"/>
      <c r="E116" s="16"/>
      <c r="F116" s="16"/>
      <c r="G116" s="16"/>
      <c r="H116" s="16"/>
      <c r="I116" s="16"/>
      <c r="J116" s="16"/>
    </row>
    <row r="117" spans="1:11" ht="7.2" customHeight="1" x14ac:dyDescent="0.25">
      <c r="A117" s="16"/>
      <c r="B117" s="117"/>
      <c r="C117" s="117"/>
      <c r="D117" s="117"/>
      <c r="E117" s="117"/>
      <c r="F117" s="117"/>
      <c r="G117" s="117"/>
      <c r="H117" s="117"/>
      <c r="I117" s="117"/>
      <c r="J117" s="16"/>
    </row>
    <row r="118" spans="1:11" ht="13.95" customHeight="1" x14ac:dyDescent="0.25">
      <c r="A118" s="16"/>
      <c r="B118" s="58"/>
      <c r="C118" s="65" t="s">
        <v>77</v>
      </c>
      <c r="D118" s="31"/>
      <c r="E118" s="50"/>
      <c r="F118" s="58"/>
      <c r="G118" s="153" t="str">
        <f>IF(AND(Parametres!$C$27=1,Parametres!$C$23=2),"Erreur: Moteur au gaz naturel sans connexion gaz!","")</f>
        <v/>
      </c>
      <c r="H118" s="58"/>
      <c r="I118" s="58"/>
      <c r="J118" s="37"/>
    </row>
    <row r="119" spans="1:11" ht="13.95" customHeight="1" x14ac:dyDescent="0.25">
      <c r="A119" s="16"/>
      <c r="B119" s="58"/>
      <c r="C119" s="65"/>
      <c r="D119" s="31"/>
      <c r="E119" s="50"/>
      <c r="F119" s="58"/>
      <c r="G119" s="58"/>
      <c r="H119" s="58"/>
      <c r="I119" s="58"/>
      <c r="J119" s="16"/>
    </row>
    <row r="120" spans="1:11" ht="13.95" customHeight="1" x14ac:dyDescent="0.3">
      <c r="A120" s="16"/>
      <c r="B120" s="58"/>
      <c r="C120" s="27" t="s">
        <v>75</v>
      </c>
      <c r="G120" s="58"/>
      <c r="H120" s="58"/>
      <c r="I120" s="58"/>
      <c r="J120" s="16"/>
    </row>
    <row r="121" spans="1:11" ht="13.95" customHeight="1" x14ac:dyDescent="0.3">
      <c r="A121" s="16"/>
      <c r="B121" s="58"/>
      <c r="C121" s="27"/>
      <c r="D121" s="31" t="s">
        <v>108</v>
      </c>
      <c r="E121" s="132">
        <f>Parametres!C29*1000</f>
        <v>217</v>
      </c>
      <c r="F121" s="58" t="s">
        <v>73</v>
      </c>
      <c r="G121" s="58"/>
      <c r="H121" s="58"/>
      <c r="I121" s="58"/>
      <c r="J121" s="16"/>
    </row>
    <row r="122" spans="1:11" ht="13.95" customHeight="1" x14ac:dyDescent="0.3">
      <c r="A122" s="16"/>
      <c r="B122" s="58"/>
      <c r="C122" s="27" t="s">
        <v>72</v>
      </c>
      <c r="D122" s="31"/>
      <c r="E122" s="134"/>
      <c r="F122" s="60"/>
      <c r="G122" s="60"/>
      <c r="H122" s="60"/>
      <c r="I122" s="58"/>
      <c r="J122" s="16"/>
    </row>
    <row r="123" spans="1:11" ht="13.95" customHeight="1" x14ac:dyDescent="0.3">
      <c r="A123" s="16"/>
      <c r="B123" s="58"/>
      <c r="C123" s="65"/>
      <c r="D123" s="31" t="s">
        <v>109</v>
      </c>
      <c r="E123" s="132">
        <f>IF(E72=0,0,IF(Parametres!C1=1,(E78/0.55+E61/0.9)*Parametres!C30-E142*E121/1000,E78*Parametres!C38+E61*IF((E74/100+E76/100)&gt;0.9,IF(Parametres!C23=1,Parametres!$C$30,Parametres!$C$31)/(E74/100+E76/100),IF(Parametres!C23=1,Parametres!C39,Parametres!C40))-E142*E121/1000))</f>
        <v>18832.397273355979</v>
      </c>
      <c r="F123" s="58" t="s">
        <v>74</v>
      </c>
      <c r="G123" s="58"/>
      <c r="H123" s="58"/>
      <c r="I123" s="58"/>
      <c r="J123" s="16"/>
    </row>
    <row r="124" spans="1:11" ht="13.95" customHeight="1" x14ac:dyDescent="0.25">
      <c r="A124" s="16"/>
      <c r="B124" s="58"/>
      <c r="C124" s="27" t="s">
        <v>299</v>
      </c>
      <c r="E124" s="134"/>
      <c r="F124" s="58"/>
      <c r="G124" s="58"/>
      <c r="H124" s="58"/>
      <c r="I124" s="58"/>
      <c r="J124" s="16"/>
    </row>
    <row r="125" spans="1:11" ht="13.95" customHeight="1" x14ac:dyDescent="0.3">
      <c r="A125" s="16"/>
      <c r="B125" s="58"/>
      <c r="C125" s="27"/>
      <c r="D125" s="44" t="s">
        <v>295</v>
      </c>
      <c r="E125" s="132">
        <f>IF(E72=0,0,E61/90%+E78/55%-E142)</f>
        <v>86785.240891041409</v>
      </c>
      <c r="F125" s="58" t="s">
        <v>294</v>
      </c>
      <c r="G125" s="58"/>
      <c r="H125" s="58"/>
      <c r="I125" s="58"/>
      <c r="J125" s="16"/>
    </row>
    <row r="126" spans="1:11" ht="13.95" customHeight="1" x14ac:dyDescent="0.25">
      <c r="A126" s="16"/>
      <c r="B126" s="58"/>
      <c r="C126" s="27" t="str">
        <f>IF(Parametres!C1=1,"Economie relative en CO2","Taux d'économie de CO2")</f>
        <v>Economie relative en CO2</v>
      </c>
      <c r="D126" s="31"/>
      <c r="E126" s="141" t="str">
        <f>IF(AND(Parametres!C1=2,F128=1),"jusqu'à 5 MWe","")</f>
        <v/>
      </c>
      <c r="F126" s="77" t="str">
        <f>IF(F128=1,"de 5 à 20 MWe","")</f>
        <v/>
      </c>
      <c r="G126" s="77" t="str">
        <f>IF(G128=1,"au-delà de 20 MWe","")</f>
        <v/>
      </c>
      <c r="H126" s="77"/>
      <c r="I126" s="58"/>
      <c r="J126" s="16"/>
    </row>
    <row r="127" spans="1:11" ht="13.95" customHeight="1" x14ac:dyDescent="0.3">
      <c r="A127" s="16"/>
      <c r="B127" s="58"/>
      <c r="C127" s="27"/>
      <c r="D127" s="31" t="s">
        <v>357</v>
      </c>
      <c r="E127" s="133">
        <f>IF(E72=0,0,(IF(Parametres!$C$1=1,((E78/0.55+E61/0.9)*Parametres!$C$30-E142*E121/1000)/(0.217*(E78/0.55+E61/0.9)),MIN(2,(E78*Parametres!C38+E61*IF((E74/100+E76/100)&gt;0.9,IF(Parametres!C23=1,Parametres!$C$30,Parametres!$C$31)/(E74/100+E76/100),IF(Parametres!C23=1,Parametres!C39,Parametres!C40))-E142*E121/1000)/(E78*Parametres!C38))))*100)</f>
        <v>17.222612272818633</v>
      </c>
      <c r="F127" s="110" t="str">
        <f>IF(OR(Parametres!C1=1,F128=0),"%",MIN(1,(E78*Parametres!C38+E61*IF((E74/100+E76/100)&gt;0.9,IF(Parametres!C23=1,Parametres!$C$30,Parametres!$C$31)/(E74/100+E76/100),IF(Parametres!C23=1,Parametres!C39,Parametres!C40))-E142*E121/1000)/(E78*Parametres!C38))*100)</f>
        <v>%</v>
      </c>
      <c r="G127" s="126" t="str">
        <f>IF(OR(Parametres!C1=1,G128=0),"",MIN(1,(E78*Parametres!C38-E142*E121/1000)/(E78*Parametres!C38))*100)</f>
        <v/>
      </c>
      <c r="H127" s="78"/>
      <c r="I127" s="58"/>
      <c r="J127" s="16"/>
    </row>
    <row r="128" spans="1:11" ht="13.95" customHeight="1" x14ac:dyDescent="0.25">
      <c r="A128" s="16"/>
      <c r="B128" s="58"/>
      <c r="C128" s="27" t="s">
        <v>395</v>
      </c>
      <c r="D128" s="31"/>
      <c r="E128" s="142"/>
      <c r="F128" s="60">
        <f>IF(AND(Parametres!C1=2,E72&gt;5000),1,0)</f>
        <v>0</v>
      </c>
      <c r="G128" s="60">
        <f>IF(AND(Parametres!C1=2,E72&gt;20000),1,0)</f>
        <v>0</v>
      </c>
      <c r="H128" s="60"/>
      <c r="I128" s="58"/>
      <c r="J128" s="16"/>
    </row>
    <row r="129" spans="1:10" ht="13.95" customHeight="1" x14ac:dyDescent="0.3">
      <c r="A129" s="16"/>
      <c r="B129" s="58"/>
      <c r="C129" s="27"/>
      <c r="D129" s="31" t="s">
        <v>396</v>
      </c>
      <c r="E129" s="133">
        <f>IF(AND(Parametres!C1=1,Parametres!C5=6,Parametres!C42=18,Parametres!C27=1),IF(E72&lt;=50,2,1.5),1)</f>
        <v>1</v>
      </c>
      <c r="F129" s="153" t="str">
        <f>IF(Parametres!C1=1," &gt; 1 si cogénération gaz dans logement collectif bruxellois","      ←  Sans objet en Wallonie")</f>
        <v xml:space="preserve"> &gt; 1 si cogénération gaz dans logement collectif bruxellois</v>
      </c>
      <c r="G129" s="60"/>
      <c r="H129" s="60"/>
      <c r="I129" s="58"/>
      <c r="J129" s="16"/>
    </row>
    <row r="130" spans="1:10" ht="13.95" customHeight="1" x14ac:dyDescent="0.25">
      <c r="A130" s="16"/>
      <c r="B130" s="58"/>
      <c r="C130" s="27" t="s">
        <v>420</v>
      </c>
      <c r="D130" s="31"/>
      <c r="E130" s="160"/>
      <c r="F130" s="153"/>
      <c r="G130" s="60"/>
      <c r="H130" s="60"/>
      <c r="I130" s="58"/>
      <c r="J130" s="16"/>
    </row>
    <row r="131" spans="1:10" ht="13.95" customHeight="1" x14ac:dyDescent="0.3">
      <c r="A131" s="16"/>
      <c r="B131" s="58"/>
      <c r="C131" s="27"/>
      <c r="D131" s="31" t="s">
        <v>419</v>
      </c>
      <c r="E131" s="162">
        <f>IF(AND(Parametres!C1=2,Parametres!C27=3),1,1)</f>
        <v>1</v>
      </c>
      <c r="F131" s="153" t="str">
        <f>IF(Parametres!C1=2,"       ←  Le tableau des valeurs des kECO au sein de la feuille 'kéco Wallonie' ","      ←  Sans objet en Région de Bruxelles-Capitale")</f>
        <v xml:space="preserve">      ←  Sans objet en Région de Bruxelles-Capitale</v>
      </c>
      <c r="G131" s="60"/>
      <c r="H131" s="60"/>
      <c r="I131" s="58"/>
      <c r="J131" s="16"/>
    </row>
    <row r="132" spans="1:10" ht="13.95" customHeight="1" x14ac:dyDescent="0.25">
      <c r="A132" s="16"/>
      <c r="B132" s="58"/>
      <c r="C132" s="27" t="s">
        <v>96</v>
      </c>
      <c r="D132" s="31"/>
      <c r="E132" s="142"/>
      <c r="F132" s="60"/>
      <c r="G132" s="60"/>
      <c r="H132" s="60"/>
      <c r="I132" s="58"/>
      <c r="J132" s="16"/>
    </row>
    <row r="133" spans="1:10" ht="13.95" customHeight="1" x14ac:dyDescent="0.3">
      <c r="A133" s="16"/>
      <c r="B133" s="58"/>
      <c r="C133" s="27"/>
      <c r="D133" s="31" t="s">
        <v>110</v>
      </c>
      <c r="E133" s="132">
        <f>E129*IF(E72=0,0,IF(Parametres!C1=1,MAX(0,IF(AND(E123/(Parametres!C30*1000)/(E78/1000)&gt;2,OR(E72&gt;1000,E74&lt;20)),2*E78/1000,E123/(Parametres!C30*1000))),MIN(5*E50,E78/1000)*IF(E127&gt;10,E127/100,0)+(MIN(20*E50,E78/1000)-5*E50)*IF(AND(F128=1,F127&gt;10),F127/100,0)+(E78/1000-20*E50)*IF(AND(G128=1,G127&gt;10),G127/100,0)))</f>
        <v>86.785240891041383</v>
      </c>
      <c r="F133" s="58"/>
      <c r="G133" s="58"/>
      <c r="H133" s="58"/>
      <c r="I133" s="58"/>
      <c r="J133" s="16"/>
    </row>
    <row r="134" spans="1:10" ht="13.95" customHeight="1" x14ac:dyDescent="0.25">
      <c r="A134" s="16"/>
      <c r="B134" s="58"/>
      <c r="C134" s="27" t="s">
        <v>78</v>
      </c>
      <c r="D134" s="44"/>
      <c r="E134" s="54"/>
      <c r="F134" s="58"/>
      <c r="I134" s="58"/>
      <c r="J134" s="16"/>
    </row>
    <row r="135" spans="1:10" ht="13.95" customHeight="1" x14ac:dyDescent="0.3">
      <c r="A135" s="16"/>
      <c r="B135" s="58"/>
      <c r="C135" s="27"/>
      <c r="D135" s="44" t="s">
        <v>79</v>
      </c>
      <c r="E135" s="55">
        <v>80</v>
      </c>
      <c r="F135" s="58" t="s">
        <v>76</v>
      </c>
      <c r="G135" s="58"/>
      <c r="H135" s="58"/>
      <c r="I135" s="58"/>
      <c r="J135" s="16"/>
    </row>
    <row r="136" spans="1:10" ht="13.95" customHeight="1" x14ac:dyDescent="0.25">
      <c r="A136" s="16"/>
      <c r="B136" s="58"/>
      <c r="C136" s="27" t="s">
        <v>106</v>
      </c>
      <c r="D136" s="44"/>
      <c r="E136" s="50"/>
      <c r="F136" s="58"/>
      <c r="G136" s="58"/>
      <c r="H136" s="58"/>
      <c r="I136" s="58"/>
      <c r="J136" s="16"/>
    </row>
    <row r="137" spans="1:10" ht="13.95" customHeight="1" x14ac:dyDescent="0.3">
      <c r="A137" s="16"/>
      <c r="B137" s="58"/>
      <c r="C137" s="27"/>
      <c r="D137" s="44" t="s">
        <v>107</v>
      </c>
      <c r="E137" s="138">
        <f>E135*E133</f>
        <v>6942.8192712833106</v>
      </c>
      <c r="F137" s="58" t="s">
        <v>62</v>
      </c>
      <c r="G137" s="58"/>
      <c r="H137" s="58"/>
      <c r="I137" s="58"/>
      <c r="J137" s="16"/>
    </row>
    <row r="138" spans="1:10" ht="13.95" customHeight="1" x14ac:dyDescent="0.25">
      <c r="A138" s="16"/>
      <c r="B138" s="58"/>
      <c r="C138" s="67"/>
      <c r="E138" s="134"/>
      <c r="F138" s="58"/>
      <c r="G138" s="58"/>
      <c r="H138" s="58"/>
      <c r="I138" s="58"/>
      <c r="J138" s="16"/>
    </row>
    <row r="139" spans="1:10" ht="13.95" customHeight="1" x14ac:dyDescent="0.25">
      <c r="A139" s="16"/>
      <c r="B139" s="58"/>
      <c r="C139" s="65" t="s">
        <v>80</v>
      </c>
      <c r="E139" s="134"/>
      <c r="F139" s="58"/>
      <c r="G139" s="58"/>
      <c r="H139" s="58"/>
      <c r="I139" s="58"/>
      <c r="J139" s="16"/>
    </row>
    <row r="140" spans="1:10" ht="13.2" customHeight="1" x14ac:dyDescent="0.25">
      <c r="A140" s="16"/>
      <c r="B140" s="58"/>
      <c r="C140" s="67"/>
      <c r="E140" s="134"/>
      <c r="F140" s="58"/>
      <c r="G140" s="58"/>
      <c r="H140" s="58"/>
      <c r="I140" s="58"/>
      <c r="J140" s="16"/>
    </row>
    <row r="141" spans="1:10" ht="13.2" customHeight="1" x14ac:dyDescent="0.25">
      <c r="A141" s="16"/>
      <c r="B141" s="58"/>
      <c r="C141" s="27" t="s">
        <v>81</v>
      </c>
      <c r="E141" s="103"/>
      <c r="G141" s="58"/>
      <c r="H141" s="58"/>
      <c r="I141" s="58"/>
      <c r="J141" s="16"/>
    </row>
    <row r="142" spans="1:10" ht="13.95" customHeight="1" x14ac:dyDescent="0.3">
      <c r="A142" s="16"/>
      <c r="B142" s="58"/>
      <c r="C142" s="58"/>
      <c r="D142" s="44" t="s">
        <v>327</v>
      </c>
      <c r="E142" s="132">
        <f>IF(E72=0,0,E78/(E74/100))</f>
        <v>417117.64861433912</v>
      </c>
      <c r="F142" s="58" t="s">
        <v>197</v>
      </c>
      <c r="G142" s="58"/>
      <c r="H142" s="58"/>
      <c r="I142" s="58"/>
      <c r="J142" s="16"/>
    </row>
    <row r="143" spans="1:10" ht="13.95" customHeight="1" x14ac:dyDescent="0.25">
      <c r="A143" s="16"/>
      <c r="B143" s="58"/>
      <c r="C143" s="27" t="s">
        <v>82</v>
      </c>
      <c r="E143" s="50"/>
      <c r="F143" s="58"/>
      <c r="G143" s="58"/>
      <c r="H143" s="58"/>
      <c r="I143" s="58"/>
      <c r="J143" s="16"/>
    </row>
    <row r="144" spans="1:10" ht="13.95" customHeight="1" x14ac:dyDescent="0.3">
      <c r="A144" s="16"/>
      <c r="B144" s="58"/>
      <c r="C144" s="58"/>
      <c r="D144" s="44" t="s">
        <v>83</v>
      </c>
      <c r="E144" s="72">
        <f>IF(OR(Parametres!C27=1,Parametres!C27=2),E110,65)</f>
        <v>23.085165276711251</v>
      </c>
      <c r="F144" s="58" t="s">
        <v>84</v>
      </c>
      <c r="G144" s="153" t="s">
        <v>394</v>
      </c>
      <c r="H144" s="58"/>
      <c r="I144" s="58"/>
      <c r="J144" s="16"/>
    </row>
    <row r="145" spans="1:10" ht="13.95" customHeight="1" x14ac:dyDescent="0.25">
      <c r="A145" s="16"/>
      <c r="B145" s="58"/>
      <c r="C145" s="27" t="s">
        <v>112</v>
      </c>
      <c r="E145" s="50"/>
      <c r="F145" s="58"/>
      <c r="G145" s="58" t="s">
        <v>251</v>
      </c>
      <c r="H145" s="19" t="s">
        <v>331</v>
      </c>
      <c r="I145" s="58"/>
      <c r="J145" s="16"/>
    </row>
    <row r="146" spans="1:10" ht="13.95" customHeight="1" x14ac:dyDescent="0.3">
      <c r="A146" s="16"/>
      <c r="B146" s="58"/>
      <c r="C146" s="27"/>
      <c r="D146" s="44" t="s">
        <v>113</v>
      </c>
      <c r="E146" s="138">
        <f>-E142*E144/1000</f>
        <v>-9629.2298580951865</v>
      </c>
      <c r="F146" s="58" t="s">
        <v>62</v>
      </c>
      <c r="G146" s="136"/>
      <c r="H146" s="133">
        <v>3</v>
      </c>
      <c r="I146" s="101" t="s">
        <v>252</v>
      </c>
      <c r="J146" s="16"/>
    </row>
    <row r="147" spans="1:10" ht="13.95" customHeight="1" x14ac:dyDescent="0.25">
      <c r="A147" s="16"/>
      <c r="B147" s="58"/>
      <c r="C147" s="27"/>
      <c r="D147" s="31"/>
      <c r="E147" s="139"/>
      <c r="F147" s="31"/>
      <c r="G147" s="58"/>
      <c r="H147" s="58"/>
      <c r="I147" s="58"/>
      <c r="J147" s="16"/>
    </row>
    <row r="148" spans="1:10" ht="13.95" customHeight="1" x14ac:dyDescent="0.25">
      <c r="A148" s="16"/>
      <c r="B148" s="58"/>
      <c r="C148" s="65" t="s">
        <v>85</v>
      </c>
      <c r="D148" s="44"/>
      <c r="E148" s="134"/>
      <c r="F148" s="58"/>
      <c r="G148" s="58"/>
      <c r="H148" s="58"/>
      <c r="I148" s="58"/>
      <c r="J148" s="16"/>
    </row>
    <row r="149" spans="1:10" ht="13.95" customHeight="1" x14ac:dyDescent="0.25">
      <c r="A149" s="16"/>
      <c r="B149" s="58"/>
      <c r="C149" s="27"/>
      <c r="D149" s="44"/>
      <c r="E149" s="134"/>
      <c r="F149" s="58"/>
      <c r="G149" s="58"/>
      <c r="H149" s="58"/>
      <c r="I149" s="58"/>
      <c r="J149" s="16"/>
    </row>
    <row r="150" spans="1:10" ht="13.95" customHeight="1" x14ac:dyDescent="0.3">
      <c r="A150" s="16"/>
      <c r="B150" s="58"/>
      <c r="C150" s="27" t="s">
        <v>86</v>
      </c>
      <c r="E150" s="103"/>
      <c r="G150" s="58"/>
      <c r="H150" s="58"/>
      <c r="I150" s="58"/>
      <c r="J150" s="16"/>
    </row>
    <row r="151" spans="1:10" ht="13.95" customHeight="1" x14ac:dyDescent="0.3">
      <c r="A151" s="16"/>
      <c r="B151" s="58"/>
      <c r="C151" s="27"/>
      <c r="D151" s="31" t="s">
        <v>118</v>
      </c>
      <c r="E151" s="140">
        <f>IF(E72=0,0,IF(E72&gt;50,Parametres!M29*IF(E72&lt;=Parametres!H29,E72,Parametres!H29)^Parametres!N29/100,Parametres!O29*E72^Parametres!P29))</f>
        <v>3.1558471225947626E-2</v>
      </c>
      <c r="F151" s="58" t="s">
        <v>150</v>
      </c>
      <c r="G151" s="58"/>
      <c r="H151" s="58"/>
      <c r="I151" s="58"/>
      <c r="J151" s="16"/>
    </row>
    <row r="152" spans="1:10" ht="13.95" customHeight="1" x14ac:dyDescent="0.25">
      <c r="A152" s="16"/>
      <c r="B152" s="58"/>
      <c r="C152" s="27" t="s">
        <v>117</v>
      </c>
      <c r="D152" s="44"/>
      <c r="E152" s="134"/>
      <c r="F152" s="58"/>
      <c r="G152" s="58"/>
      <c r="H152" s="58"/>
      <c r="I152" s="58"/>
      <c r="J152" s="16"/>
    </row>
    <row r="153" spans="1:10" ht="13.95" customHeight="1" x14ac:dyDescent="0.3">
      <c r="A153" s="16"/>
      <c r="B153" s="58"/>
      <c r="C153" s="27"/>
      <c r="D153" s="44" t="s">
        <v>115</v>
      </c>
      <c r="E153" s="137">
        <f>E151*E72</f>
        <v>0.77454800494594811</v>
      </c>
      <c r="F153" s="58" t="s">
        <v>87</v>
      </c>
      <c r="G153" s="58"/>
      <c r="H153" s="58"/>
      <c r="I153" s="58"/>
      <c r="J153" s="16"/>
    </row>
    <row r="154" spans="1:10" ht="13.95" customHeight="1" x14ac:dyDescent="0.25">
      <c r="A154" s="16"/>
      <c r="B154" s="58"/>
      <c r="C154" s="27" t="s">
        <v>114</v>
      </c>
      <c r="D154" s="44"/>
      <c r="E154" s="134"/>
      <c r="F154" s="58"/>
      <c r="G154" s="58" t="s">
        <v>251</v>
      </c>
      <c r="H154" s="19" t="s">
        <v>331</v>
      </c>
      <c r="I154" s="58"/>
      <c r="J154" s="16"/>
    </row>
    <row r="155" spans="1:10" ht="13.95" customHeight="1" x14ac:dyDescent="0.3">
      <c r="A155" s="16"/>
      <c r="B155" s="58"/>
      <c r="C155" s="27"/>
      <c r="D155" s="44" t="s">
        <v>116</v>
      </c>
      <c r="E155" s="138">
        <f>-E151*E78</f>
        <v>-4050.8860658680442</v>
      </c>
      <c r="F155" s="58" t="s">
        <v>62</v>
      </c>
      <c r="G155" s="136"/>
      <c r="H155" s="133">
        <v>2</v>
      </c>
      <c r="I155" s="101" t="s">
        <v>252</v>
      </c>
      <c r="J155" s="16"/>
    </row>
    <row r="156" spans="1:10" ht="13.95" customHeight="1" x14ac:dyDescent="0.25">
      <c r="A156" s="16"/>
      <c r="B156" s="58"/>
      <c r="C156" s="67"/>
      <c r="E156" s="50"/>
      <c r="F156" s="58"/>
      <c r="G156" s="58"/>
      <c r="H156" s="58"/>
      <c r="I156" s="58"/>
      <c r="J156" s="16"/>
    </row>
    <row r="157" spans="1:10" ht="20.100000000000001" customHeight="1" x14ac:dyDescent="0.25">
      <c r="A157" s="16"/>
      <c r="B157" s="58"/>
      <c r="C157" s="67"/>
      <c r="E157" s="50"/>
      <c r="F157" s="58"/>
      <c r="G157" s="58"/>
      <c r="H157" s="58"/>
      <c r="I157" s="58"/>
      <c r="J157" s="16"/>
    </row>
    <row r="158" spans="1:10" ht="6.6" customHeight="1" x14ac:dyDescent="0.25">
      <c r="A158" s="16"/>
      <c r="B158" s="16"/>
      <c r="C158" s="16"/>
      <c r="D158" s="16"/>
      <c r="E158" s="16"/>
      <c r="F158" s="16"/>
      <c r="G158" s="16"/>
      <c r="H158" s="16"/>
      <c r="I158" s="16"/>
      <c r="J158" s="16"/>
    </row>
    <row r="159" spans="1:10" ht="7.2" customHeight="1" x14ac:dyDescent="0.25">
      <c r="A159" s="16"/>
      <c r="B159" s="117"/>
      <c r="C159" s="117"/>
      <c r="D159" s="117"/>
      <c r="E159" s="117"/>
      <c r="F159" s="117"/>
      <c r="G159" s="117"/>
      <c r="H159" s="117"/>
      <c r="I159" s="117"/>
      <c r="J159" s="16"/>
    </row>
    <row r="160" spans="1:10" ht="13.95" customHeight="1" x14ac:dyDescent="0.25">
      <c r="A160" s="16"/>
      <c r="B160" s="58"/>
      <c r="C160" s="65" t="s">
        <v>88</v>
      </c>
      <c r="D160" s="44"/>
      <c r="E160" s="50"/>
      <c r="F160" s="58"/>
      <c r="G160" s="58"/>
      <c r="H160" s="58"/>
      <c r="I160" s="58"/>
      <c r="J160" s="16"/>
    </row>
    <row r="161" spans="1:31" ht="13.95" customHeight="1" x14ac:dyDescent="0.25">
      <c r="A161" s="16"/>
      <c r="B161" s="58"/>
      <c r="C161" s="27"/>
      <c r="D161" s="44"/>
      <c r="E161" s="50"/>
      <c r="F161" s="58"/>
      <c r="G161" s="58"/>
      <c r="H161" s="58"/>
      <c r="I161" s="58"/>
      <c r="J161" s="16"/>
    </row>
    <row r="162" spans="1:31" ht="14.1" customHeight="1" x14ac:dyDescent="0.25">
      <c r="A162" s="16"/>
      <c r="B162" s="58"/>
      <c r="C162" s="27" t="s">
        <v>130</v>
      </c>
      <c r="G162" s="58"/>
      <c r="H162" s="58"/>
      <c r="I162" s="58"/>
      <c r="J162" s="16"/>
    </row>
    <row r="163" spans="1:31" ht="14.1" customHeight="1" x14ac:dyDescent="0.3">
      <c r="A163" s="16"/>
      <c r="B163" s="58"/>
      <c r="C163" s="27"/>
      <c r="D163" s="31" t="s">
        <v>119</v>
      </c>
      <c r="E163" s="132">
        <f>IF(E72=0,0,(IF(E72&gt;50,Parametres!I29*IF(E72&lt;=Parametres!H29,E72,Parametres!H29)^Parametres!J29*E72+1500*E45,Parametres!K29*E72^Parametres!L29*E72+1500*E45)))</f>
        <v>53839.761067016967</v>
      </c>
      <c r="F163" s="58" t="s">
        <v>93</v>
      </c>
      <c r="G163" s="58"/>
      <c r="H163" s="58"/>
      <c r="I163" s="58"/>
      <c r="J163" s="16"/>
    </row>
    <row r="164" spans="1:31" ht="13.95" customHeight="1" x14ac:dyDescent="0.25">
      <c r="A164" s="16"/>
      <c r="B164" s="58"/>
      <c r="C164" s="27" t="s">
        <v>89</v>
      </c>
      <c r="D164" s="44"/>
      <c r="E164" s="50"/>
      <c r="F164" s="58"/>
      <c r="G164" s="58"/>
      <c r="H164" s="58"/>
      <c r="I164" s="58"/>
      <c r="J164" s="16"/>
    </row>
    <row r="165" spans="1:31" ht="13.95" customHeight="1" x14ac:dyDescent="0.3">
      <c r="A165" s="16"/>
      <c r="B165" s="58"/>
      <c r="C165" s="27"/>
      <c r="D165" s="44" t="s">
        <v>90</v>
      </c>
      <c r="E165" s="55">
        <v>60</v>
      </c>
      <c r="F165" s="59" t="s">
        <v>12</v>
      </c>
      <c r="G165" s="58"/>
      <c r="H165" s="58"/>
      <c r="I165" s="58"/>
      <c r="J165" s="16"/>
    </row>
    <row r="166" spans="1:31" ht="13.95" customHeight="1" x14ac:dyDescent="0.25">
      <c r="A166" s="16"/>
      <c r="B166" s="58"/>
      <c r="C166" s="27" t="s">
        <v>131</v>
      </c>
      <c r="D166" s="44"/>
      <c r="E166" s="50"/>
      <c r="F166" s="58"/>
      <c r="G166" s="58"/>
      <c r="H166" s="58"/>
      <c r="I166" s="58"/>
      <c r="J166" s="16"/>
    </row>
    <row r="167" spans="1:31" ht="13.95" customHeight="1" x14ac:dyDescent="0.3">
      <c r="A167" s="16"/>
      <c r="B167" s="58"/>
      <c r="C167" s="27"/>
      <c r="D167" s="44" t="s">
        <v>138</v>
      </c>
      <c r="E167" s="132">
        <f>E163*(1+E165/100)</f>
        <v>86143.617707227153</v>
      </c>
      <c r="F167" s="59" t="s">
        <v>93</v>
      </c>
      <c r="G167" s="58"/>
      <c r="H167" s="58"/>
      <c r="I167" s="58"/>
      <c r="J167" s="16"/>
    </row>
    <row r="168" spans="1:31" ht="13.95" customHeight="1" x14ac:dyDescent="0.25">
      <c r="A168" s="16"/>
      <c r="B168" s="58"/>
      <c r="C168" s="27" t="s">
        <v>398</v>
      </c>
      <c r="D168" s="44"/>
      <c r="E168" s="50"/>
      <c r="F168" s="58"/>
      <c r="G168" s="58"/>
      <c r="H168" s="58"/>
      <c r="I168" s="58"/>
      <c r="J168" s="16"/>
    </row>
    <row r="169" spans="1:31" ht="13.95" customHeight="1" x14ac:dyDescent="0.25">
      <c r="A169" s="16"/>
      <c r="B169" s="58"/>
      <c r="C169" s="27"/>
      <c r="D169" s="44" t="s">
        <v>92</v>
      </c>
      <c r="E169" s="55"/>
      <c r="F169" s="59" t="s">
        <v>12</v>
      </c>
      <c r="G169" s="153" t="str">
        <f>IF(Parametres!C1=1,"← Sans objet en RBC","")</f>
        <v>← Sans objet en RBC</v>
      </c>
      <c r="H169" s="58"/>
      <c r="I169" s="58"/>
      <c r="J169" s="16"/>
    </row>
    <row r="170" spans="1:31" ht="13.95" customHeight="1" x14ac:dyDescent="0.25">
      <c r="A170" s="16"/>
      <c r="B170" s="58"/>
      <c r="C170" s="27" t="s">
        <v>91</v>
      </c>
      <c r="D170" s="44"/>
      <c r="E170" s="50"/>
      <c r="F170" s="58"/>
      <c r="G170" s="58"/>
      <c r="H170" s="58"/>
      <c r="I170" s="58"/>
      <c r="J170" s="16"/>
    </row>
    <row r="171" spans="1:31" ht="13.95" customHeight="1" x14ac:dyDescent="0.25">
      <c r="A171" s="16"/>
      <c r="B171" s="58"/>
      <c r="C171" s="27"/>
      <c r="D171" s="44"/>
      <c r="E171" s="132">
        <f>IF(Parametres!C1=1,IF(3500*SQRT(E72)&lt;0.3*E167,0*SQRT(E72),0.3*E167),E169/100*E167)</f>
        <v>0</v>
      </c>
      <c r="F171" s="58" t="s">
        <v>93</v>
      </c>
      <c r="G171" s="153" t="str">
        <f>IF(Parametres!C1=1,"← Calcul automatique de la Prime Energie","")</f>
        <v>← Calcul automatique de la Prime Energie</v>
      </c>
      <c r="H171" s="58"/>
      <c r="I171" s="58"/>
      <c r="J171" s="16"/>
    </row>
    <row r="172" spans="1:31" ht="13.95" customHeight="1" x14ac:dyDescent="0.25">
      <c r="A172" s="16"/>
      <c r="B172" s="58"/>
      <c r="C172" s="27" t="s">
        <v>397</v>
      </c>
      <c r="D172" s="44"/>
      <c r="E172" s="50"/>
      <c r="F172" s="58"/>
      <c r="G172" s="58"/>
      <c r="H172" s="58"/>
      <c r="I172" s="58"/>
      <c r="J172" s="16"/>
    </row>
    <row r="173" spans="1:31" ht="13.95" customHeight="1" x14ac:dyDescent="0.25">
      <c r="A173" s="16"/>
      <c r="B173" s="58"/>
      <c r="C173" s="27"/>
      <c r="D173" s="44" t="s">
        <v>92</v>
      </c>
      <c r="E173" s="55">
        <v>0</v>
      </c>
      <c r="F173" s="59" t="s">
        <v>93</v>
      </c>
      <c r="G173" s="58"/>
      <c r="H173" s="58"/>
      <c r="I173" s="58"/>
      <c r="J173" s="16"/>
      <c r="P173" s="16"/>
      <c r="Q173" s="16"/>
      <c r="R173" s="16"/>
      <c r="S173" s="16"/>
      <c r="T173" s="16"/>
      <c r="U173" s="16"/>
      <c r="V173" s="16"/>
      <c r="W173" s="16"/>
      <c r="X173" s="16"/>
      <c r="Y173" s="16"/>
      <c r="Z173" s="16"/>
      <c r="AA173" s="16"/>
      <c r="AB173" s="16"/>
      <c r="AC173" s="16"/>
      <c r="AD173" s="16"/>
      <c r="AE173" s="16"/>
    </row>
    <row r="174" spans="1:31" ht="13.95" customHeight="1" x14ac:dyDescent="0.25">
      <c r="A174" s="16"/>
      <c r="B174" s="58"/>
      <c r="C174" s="27" t="s">
        <v>120</v>
      </c>
      <c r="D174" s="44"/>
      <c r="E174" s="50"/>
      <c r="F174" s="58"/>
      <c r="G174" s="58"/>
      <c r="H174" s="58"/>
      <c r="I174" s="58"/>
      <c r="J174" s="16"/>
      <c r="P174" s="16"/>
      <c r="AE174" s="16"/>
    </row>
    <row r="175" spans="1:31" ht="13.95" customHeight="1" x14ac:dyDescent="0.3">
      <c r="A175" s="16"/>
      <c r="B175" s="58"/>
      <c r="C175" s="27"/>
      <c r="D175" s="44" t="s">
        <v>132</v>
      </c>
      <c r="E175" s="138">
        <f>E167-E171-E173</f>
        <v>86143.617707227153</v>
      </c>
      <c r="F175" s="58" t="s">
        <v>93</v>
      </c>
      <c r="G175" s="58"/>
      <c r="H175" s="58"/>
      <c r="I175" s="58"/>
      <c r="J175" s="16"/>
      <c r="P175" s="16"/>
      <c r="R175" s="65" t="s">
        <v>258</v>
      </c>
      <c r="S175" s="65"/>
      <c r="AE175" s="16"/>
    </row>
    <row r="176" spans="1:31" ht="13.95" customHeight="1" x14ac:dyDescent="0.25">
      <c r="A176" s="16"/>
      <c r="B176" s="58"/>
      <c r="C176" s="27"/>
      <c r="D176" s="44"/>
      <c r="E176" s="56"/>
      <c r="F176" s="44"/>
      <c r="G176" s="58"/>
      <c r="H176" s="58"/>
      <c r="I176" s="58"/>
      <c r="J176" s="16"/>
      <c r="P176" s="16"/>
      <c r="R176" s="18" t="s">
        <v>260</v>
      </c>
      <c r="T176" s="152">
        <f>ROUND(50000/E50,0)</f>
        <v>10</v>
      </c>
      <c r="U176" s="18" t="s">
        <v>95</v>
      </c>
      <c r="AE176" s="16"/>
    </row>
    <row r="177" spans="1:32" ht="15.9" customHeight="1" x14ac:dyDescent="0.25">
      <c r="A177" s="16"/>
      <c r="B177" s="58"/>
      <c r="C177" s="65" t="s">
        <v>94</v>
      </c>
      <c r="D177" s="44"/>
      <c r="E177" s="50"/>
      <c r="F177" s="58"/>
      <c r="G177" s="58"/>
      <c r="H177" s="58"/>
      <c r="I177" s="58"/>
      <c r="J177" s="16"/>
      <c r="P177" s="16"/>
      <c r="R177" s="18" t="s">
        <v>261</v>
      </c>
      <c r="T177" s="18">
        <v>1</v>
      </c>
      <c r="U177" s="18">
        <v>2</v>
      </c>
      <c r="V177" s="18">
        <v>3</v>
      </c>
      <c r="W177" s="18">
        <v>4</v>
      </c>
      <c r="X177" s="18">
        <v>5</v>
      </c>
      <c r="Y177" s="18">
        <v>6</v>
      </c>
      <c r="Z177" s="18">
        <v>7</v>
      </c>
      <c r="AA177" s="18">
        <v>8</v>
      </c>
      <c r="AB177" s="18">
        <v>9</v>
      </c>
      <c r="AC177" s="18">
        <v>10</v>
      </c>
      <c r="AE177" s="16"/>
    </row>
    <row r="178" spans="1:32" ht="13.95" customHeight="1" x14ac:dyDescent="0.25">
      <c r="A178" s="16"/>
      <c r="B178" s="58"/>
      <c r="C178" s="27"/>
      <c r="D178" s="44"/>
      <c r="E178" s="50"/>
      <c r="F178" s="58"/>
      <c r="G178" s="58"/>
      <c r="H178" s="58"/>
      <c r="I178" s="58"/>
      <c r="J178" s="16"/>
      <c r="P178" s="16"/>
      <c r="R178" s="18" t="s">
        <v>259</v>
      </c>
      <c r="T178" s="105">
        <f t="shared" ref="T178:AC178" si="0">$E$101*(POWER((1+$AF$178/100),T$177))</f>
        <v>13124.236259496687</v>
      </c>
      <c r="U178" s="105">
        <f t="shared" si="0"/>
        <v>13517.963347281588</v>
      </c>
      <c r="V178" s="105">
        <f t="shared" si="0"/>
        <v>13923.502247700035</v>
      </c>
      <c r="W178" s="105">
        <f t="shared" si="0"/>
        <v>14341.207315131034</v>
      </c>
      <c r="X178" s="105">
        <f t="shared" si="0"/>
        <v>14771.443534584965</v>
      </c>
      <c r="Y178" s="105">
        <f t="shared" si="0"/>
        <v>15214.586840622515</v>
      </c>
      <c r="Z178" s="105">
        <f t="shared" si="0"/>
        <v>15671.024445841191</v>
      </c>
      <c r="AA178" s="105">
        <f t="shared" si="0"/>
        <v>16141.155179216425</v>
      </c>
      <c r="AB178" s="105">
        <f t="shared" si="0"/>
        <v>16625.389834592919</v>
      </c>
      <c r="AC178" s="105">
        <f t="shared" si="0"/>
        <v>17124.151529630704</v>
      </c>
      <c r="AE178" s="16"/>
      <c r="AF178" s="116">
        <f>IF(ISBLANK(G101),H101,G101)</f>
        <v>3</v>
      </c>
    </row>
    <row r="179" spans="1:32" ht="16.2" customHeight="1" x14ac:dyDescent="0.25">
      <c r="A179" s="16"/>
      <c r="B179" s="58"/>
      <c r="C179" s="27" t="s">
        <v>121</v>
      </c>
      <c r="D179" s="44"/>
      <c r="E179" s="50"/>
      <c r="F179" s="58"/>
      <c r="G179" s="58"/>
      <c r="H179" s="58"/>
      <c r="I179" s="58"/>
      <c r="J179" s="16"/>
      <c r="P179" s="16"/>
      <c r="R179" s="18" t="s">
        <v>262</v>
      </c>
      <c r="T179" s="105">
        <f t="shared" ref="T179:AC179" si="1">$E$114*(POWER((1+$AF$179/100),T$177))</f>
        <v>6810.6902794753987</v>
      </c>
      <c r="U179" s="105">
        <f t="shared" si="1"/>
        <v>7015.0109878596604</v>
      </c>
      <c r="V179" s="105">
        <f t="shared" si="1"/>
        <v>7225.4613174954502</v>
      </c>
      <c r="W179" s="105">
        <f t="shared" si="1"/>
        <v>7442.2251570203134</v>
      </c>
      <c r="X179" s="105">
        <f t="shared" si="1"/>
        <v>7665.4919117309228</v>
      </c>
      <c r="Y179" s="105">
        <f t="shared" si="1"/>
        <v>7895.4566690828506</v>
      </c>
      <c r="Z179" s="105">
        <f t="shared" si="1"/>
        <v>8132.3203691553363</v>
      </c>
      <c r="AA179" s="105">
        <f t="shared" si="1"/>
        <v>8376.2899802299962</v>
      </c>
      <c r="AB179" s="105">
        <f t="shared" si="1"/>
        <v>8627.5786796368957</v>
      </c>
      <c r="AC179" s="105">
        <f t="shared" si="1"/>
        <v>8886.4060400260023</v>
      </c>
      <c r="AE179" s="16"/>
      <c r="AF179" s="116">
        <f>IF(ISBLANK(G114),H114,G114)</f>
        <v>3</v>
      </c>
    </row>
    <row r="180" spans="1:32" ht="16.2" customHeight="1" x14ac:dyDescent="0.25">
      <c r="A180" s="16"/>
      <c r="B180" s="58"/>
      <c r="C180" s="27"/>
      <c r="D180" s="91" t="s">
        <v>194</v>
      </c>
      <c r="F180" s="58"/>
      <c r="G180" s="58"/>
      <c r="H180" s="58"/>
      <c r="I180" s="58"/>
      <c r="J180" s="16"/>
      <c r="P180" s="16"/>
      <c r="R180" s="18" t="s">
        <v>263</v>
      </c>
      <c r="T180" s="105">
        <f>$E$137</f>
        <v>6942.8192712833106</v>
      </c>
      <c r="U180" s="105">
        <f t="shared" ref="U180:AB180" si="2">$E$137</f>
        <v>6942.8192712833106</v>
      </c>
      <c r="V180" s="105">
        <f t="shared" si="2"/>
        <v>6942.8192712833106</v>
      </c>
      <c r="W180" s="105">
        <f t="shared" si="2"/>
        <v>6942.8192712833106</v>
      </c>
      <c r="X180" s="105">
        <f t="shared" si="2"/>
        <v>6942.8192712833106</v>
      </c>
      <c r="Y180" s="105">
        <f t="shared" si="2"/>
        <v>6942.8192712833106</v>
      </c>
      <c r="Z180" s="105">
        <f t="shared" si="2"/>
        <v>6942.8192712833106</v>
      </c>
      <c r="AA180" s="105">
        <f t="shared" si="2"/>
        <v>6942.8192712833106</v>
      </c>
      <c r="AB180" s="105">
        <f t="shared" si="2"/>
        <v>6942.8192712833106</v>
      </c>
      <c r="AC180" s="105">
        <f>$E$137</f>
        <v>6942.8192712833106</v>
      </c>
      <c r="AE180" s="16"/>
      <c r="AF180" s="116"/>
    </row>
    <row r="181" spans="1:32" ht="16.2" customHeight="1" x14ac:dyDescent="0.25">
      <c r="A181" s="16"/>
      <c r="C181" s="70"/>
      <c r="D181" s="91" t="s">
        <v>193</v>
      </c>
      <c r="E181" s="143">
        <f>E101+E114+E137+E146+E155</f>
        <v>12617.00095797259</v>
      </c>
      <c r="F181" s="58" t="s">
        <v>62</v>
      </c>
      <c r="G181" s="58"/>
      <c r="H181" s="58"/>
      <c r="I181" s="58"/>
      <c r="J181" s="16"/>
      <c r="P181" s="16"/>
      <c r="R181" s="18" t="s">
        <v>264</v>
      </c>
      <c r="T181" s="105">
        <f t="shared" ref="T181:AC181" si="3">$E$146*(POWER((1+$AF$181/100),T$177))</f>
        <v>-9918.106753838043</v>
      </c>
      <c r="U181" s="105">
        <f t="shared" si="3"/>
        <v>-10215.649956453182</v>
      </c>
      <c r="V181" s="105">
        <f t="shared" si="3"/>
        <v>-10522.11945514678</v>
      </c>
      <c r="W181" s="105">
        <f t="shared" si="3"/>
        <v>-10837.783038801181</v>
      </c>
      <c r="X181" s="105">
        <f t="shared" si="3"/>
        <v>-11162.916529965216</v>
      </c>
      <c r="Y181" s="105">
        <f t="shared" si="3"/>
        <v>-11497.804025864174</v>
      </c>
      <c r="Z181" s="105">
        <f t="shared" si="3"/>
        <v>-11842.738146640098</v>
      </c>
      <c r="AA181" s="105">
        <f t="shared" si="3"/>
        <v>-12198.0202910393</v>
      </c>
      <c r="AB181" s="105">
        <f t="shared" si="3"/>
        <v>-12563.96089977048</v>
      </c>
      <c r="AC181" s="105">
        <f t="shared" si="3"/>
        <v>-12940.879726763595</v>
      </c>
      <c r="AE181" s="16"/>
      <c r="AF181" s="116">
        <f>IF(ISBLANK(G146),H146,G146)</f>
        <v>3</v>
      </c>
    </row>
    <row r="182" spans="1:32" ht="16.2" customHeight="1" x14ac:dyDescent="0.25">
      <c r="A182" s="16"/>
      <c r="B182" s="58"/>
      <c r="C182" s="27" t="s">
        <v>122</v>
      </c>
      <c r="D182" s="44"/>
      <c r="E182" s="71"/>
      <c r="F182" s="58"/>
      <c r="G182" s="58"/>
      <c r="H182" s="58"/>
      <c r="I182" s="58"/>
      <c r="J182" s="16"/>
      <c r="P182" s="16"/>
      <c r="R182" s="18" t="s">
        <v>265</v>
      </c>
      <c r="T182" s="105">
        <f t="shared" ref="T182:AC182" si="4">$E$155*(POWER((1+$AF$182/100),T$177))</f>
        <v>-4131.9037871854052</v>
      </c>
      <c r="U182" s="105">
        <f t="shared" si="4"/>
        <v>-4214.5418629291134</v>
      </c>
      <c r="V182" s="105">
        <f t="shared" si="4"/>
        <v>-4298.8327001876951</v>
      </c>
      <c r="W182" s="105">
        <f t="shared" si="4"/>
        <v>-4384.8093541914495</v>
      </c>
      <c r="X182" s="105">
        <f t="shared" si="4"/>
        <v>-4472.5055412752781</v>
      </c>
      <c r="Y182" s="105">
        <f t="shared" si="4"/>
        <v>-4561.9556521007844</v>
      </c>
      <c r="Z182" s="105">
        <f t="shared" si="4"/>
        <v>-4653.194765142799</v>
      </c>
      <c r="AA182" s="105">
        <f t="shared" si="4"/>
        <v>-4746.2586604456556</v>
      </c>
      <c r="AB182" s="105">
        <f t="shared" si="4"/>
        <v>-4841.1838336545679</v>
      </c>
      <c r="AC182" s="105">
        <f t="shared" si="4"/>
        <v>-4938.0075103276604</v>
      </c>
      <c r="AE182" s="16"/>
      <c r="AF182" s="116">
        <f>IF(ISBLANK(G155),H155,G155)</f>
        <v>2</v>
      </c>
    </row>
    <row r="183" spans="1:32" ht="16.2" customHeight="1" x14ac:dyDescent="0.3">
      <c r="A183" s="16"/>
      <c r="B183" s="58"/>
      <c r="D183" s="69" t="s">
        <v>123</v>
      </c>
      <c r="E183" s="144">
        <f>IF(E72=0,0,E175/E181)</f>
        <v>6.8275827190766467</v>
      </c>
      <c r="F183" s="58" t="s">
        <v>95</v>
      </c>
      <c r="G183" s="58"/>
      <c r="H183" s="58"/>
      <c r="I183" s="58"/>
      <c r="J183" s="16"/>
      <c r="P183" s="16"/>
      <c r="R183" s="18" t="s">
        <v>266</v>
      </c>
      <c r="S183" s="38">
        <f>-E175</f>
        <v>-86143.617707227153</v>
      </c>
      <c r="T183" s="151">
        <f t="shared" ref="T183:AC183" si="5">IF(T177&gt;$T$176,0,SUM(T178:T182))</f>
        <v>12827.735269231951</v>
      </c>
      <c r="U183" s="151">
        <f>IF(U177&gt;$T$176,0,SUM(U178:U182))</f>
        <v>13045.601787042262</v>
      </c>
      <c r="V183" s="151">
        <f t="shared" si="5"/>
        <v>13270.83068114432</v>
      </c>
      <c r="W183" s="151">
        <f t="shared" si="5"/>
        <v>13503.659350442031</v>
      </c>
      <c r="X183" s="151">
        <f t="shared" si="5"/>
        <v>13744.332646358707</v>
      </c>
      <c r="Y183" s="151">
        <f t="shared" si="5"/>
        <v>13993.103103023717</v>
      </c>
      <c r="Z183" s="151">
        <f t="shared" si="5"/>
        <v>14250.231174496941</v>
      </c>
      <c r="AA183" s="151">
        <f t="shared" si="5"/>
        <v>14515.985479244777</v>
      </c>
      <c r="AB183" s="151">
        <f t="shared" si="5"/>
        <v>14790.643052088077</v>
      </c>
      <c r="AC183" s="151">
        <f t="shared" si="5"/>
        <v>15074.489603848757</v>
      </c>
      <c r="AD183" s="102"/>
      <c r="AE183" s="16"/>
    </row>
    <row r="184" spans="1:32" ht="16.2" customHeight="1" x14ac:dyDescent="0.25">
      <c r="A184" s="16"/>
      <c r="B184" s="58"/>
      <c r="C184" s="27" t="s">
        <v>253</v>
      </c>
      <c r="D184" s="44"/>
      <c r="E184" s="71"/>
      <c r="F184" s="58"/>
      <c r="G184" s="58"/>
      <c r="H184" s="58"/>
      <c r="I184" s="58"/>
      <c r="J184" s="16"/>
      <c r="P184" s="16"/>
      <c r="S184" s="38">
        <f>S183</f>
        <v>-86143.617707227153</v>
      </c>
      <c r="T184" s="106">
        <f>IF(T177&gt;$T$176,0,NPV(IF(ISBLANK($G$187),$H$187,$G$187)/100,T183)+S184)</f>
        <v>-73868.272951981271</v>
      </c>
      <c r="U184" s="106">
        <f>IF(U177&gt;$T$176,0,NPV(IF(ISBLANK($G$187),$H$187,$G$187)/100,T183:U183)+S184)</f>
        <v>-61922.024663670774</v>
      </c>
      <c r="V184" s="106">
        <f>IF(V177&gt;$T$176,0,NPV(IF(ISBLANK($G$187),$H$187,$G$187)/100,T183:V183)+S184)</f>
        <v>-50292.840804796309</v>
      </c>
      <c r="W184" s="106">
        <f>IF(W177&gt;$T$176,0,NPV(IF(ISBLANK($G$187),$H$187,$G$187)/100,T183:W183)+S184)</f>
        <v>-38969.194076464555</v>
      </c>
      <c r="X184" s="106">
        <f>IF(X177&gt;$T$176,0,NPV(IF(ISBLANK($G$187),$H$187,$G$187)/100,T183:X183)+S184)</f>
        <v>-27940.039960940499</v>
      </c>
      <c r="Y184" s="106">
        <f>IF(Y177&gt;$T$176,0,NPV(IF(ISBLANK($G$187),$H$187,$G$187)/100,T183:Y183)+S184)</f>
        <v>-17194.795722841591</v>
      </c>
      <c r="Z184" s="106">
        <f>IF(Z177&gt;$T$176,0,NPV(IF(ISBLANK($G$187),$H$187,$G$187)/100,T183:Z183)+S184)</f>
        <v>-6723.3203272675601</v>
      </c>
      <c r="AA184" s="106">
        <f>IF(AA177&gt;$T$176,0,NPV(IF(ISBLANK($G$187),$H$187,$G$187)/100,T183:AA183)+S184)</f>
        <v>3484.1047650332766</v>
      </c>
      <c r="AB184" s="106">
        <f>IF(AB177&gt;$T$176,0,NPV(IF(ISBLANK($G$187),$H$187,$G$187)/100,T183:AB183)+S184)</f>
        <v>13436.793963630029</v>
      </c>
      <c r="AC184" s="106">
        <f>IF(AC177&gt;$T$176,0,NPV(IF(ISBLANK($G$187),$H$187,$G$187)/100,T183:AC183)+S184)</f>
        <v>23143.675112022334</v>
      </c>
      <c r="AE184" s="16"/>
    </row>
    <row r="185" spans="1:32" ht="16.2" customHeight="1" x14ac:dyDescent="0.25">
      <c r="A185" s="16"/>
      <c r="B185" s="58"/>
      <c r="D185" s="69" t="s">
        <v>254</v>
      </c>
      <c r="E185" s="145">
        <f>IF(E72=0,0,IRR(S183:AC183)*100)</f>
        <v>9.4976985957502471</v>
      </c>
      <c r="F185" s="58" t="s">
        <v>252</v>
      </c>
      <c r="G185" s="58"/>
      <c r="H185" s="58"/>
      <c r="I185" s="58"/>
      <c r="J185" s="16"/>
      <c r="P185" s="16"/>
      <c r="Q185" s="16"/>
      <c r="R185" s="16"/>
      <c r="S185" s="16"/>
      <c r="T185" s="107">
        <f>IF(AND(S184&lt;0,T184&gt;=0,T177&lt;=$T$176),0-(0-T177)/(S184-T184)*S184,0)</f>
        <v>0</v>
      </c>
      <c r="U185" s="107">
        <f t="shared" ref="U185:AC185" si="6">IF(AND(T184&lt;0,U184&gt;=0,U177&lt;=$T$176),T177-(T177-U177)/(T184-U184)*T184,0)</f>
        <v>0</v>
      </c>
      <c r="V185" s="107">
        <f t="shared" si="6"/>
        <v>0</v>
      </c>
      <c r="W185" s="107">
        <f t="shared" si="6"/>
        <v>0</v>
      </c>
      <c r="X185" s="107">
        <f t="shared" si="6"/>
        <v>0</v>
      </c>
      <c r="Y185" s="107">
        <f t="shared" si="6"/>
        <v>0</v>
      </c>
      <c r="Z185" s="107">
        <f t="shared" si="6"/>
        <v>0</v>
      </c>
      <c r="AA185" s="107">
        <f t="shared" si="6"/>
        <v>7.658669573028634</v>
      </c>
      <c r="AB185" s="107">
        <f t="shared" si="6"/>
        <v>0</v>
      </c>
      <c r="AC185" s="107">
        <f t="shared" si="6"/>
        <v>0</v>
      </c>
      <c r="AD185" s="16"/>
      <c r="AE185" s="16"/>
    </row>
    <row r="186" spans="1:32" ht="16.2" customHeight="1" x14ac:dyDescent="0.25">
      <c r="A186" s="16"/>
      <c r="B186" s="58"/>
      <c r="C186" s="27" t="s">
        <v>267</v>
      </c>
      <c r="D186" s="44"/>
      <c r="E186" s="71"/>
      <c r="F186" s="58"/>
      <c r="G186" s="58" t="s">
        <v>255</v>
      </c>
      <c r="H186" s="19" t="s">
        <v>331</v>
      </c>
      <c r="I186" s="58"/>
      <c r="J186" s="16"/>
      <c r="L186" s="103"/>
      <c r="M186" s="103"/>
      <c r="N186" s="103"/>
      <c r="O186" s="104">
        <f>S185</f>
        <v>0</v>
      </c>
      <c r="P186" s="105"/>
      <c r="Q186" s="105"/>
      <c r="R186" s="105"/>
      <c r="S186" s="105"/>
    </row>
    <row r="187" spans="1:32" ht="16.2" customHeight="1" x14ac:dyDescent="0.25">
      <c r="A187" s="16"/>
      <c r="B187" s="58"/>
      <c r="D187" s="69" t="s">
        <v>268</v>
      </c>
      <c r="E187" s="146">
        <f>NPV((IF(ISBLANK(G187),H187,G187))/100,T183:AC183)-E175</f>
        <v>23143.675112022334</v>
      </c>
      <c r="F187" s="58" t="str">
        <f>"€/"&amp;MIN(10,T176)&amp;" années"</f>
        <v>€/10 années</v>
      </c>
      <c r="G187" s="136"/>
      <c r="H187" s="133">
        <v>4.5</v>
      </c>
      <c r="I187" s="101" t="s">
        <v>252</v>
      </c>
      <c r="J187" s="16"/>
      <c r="L187" s="103"/>
      <c r="M187" s="103"/>
      <c r="N187" s="103"/>
      <c r="O187" s="103"/>
      <c r="P187" s="103"/>
      <c r="Q187" s="103"/>
      <c r="R187" s="103"/>
      <c r="S187" s="103"/>
      <c r="T187" s="103"/>
      <c r="U187" s="103"/>
      <c r="V187" s="103"/>
      <c r="W187" s="103"/>
      <c r="X187" s="103"/>
      <c r="Y187" s="103"/>
      <c r="Z187" s="103"/>
    </row>
    <row r="188" spans="1:32" ht="16.2" customHeight="1" x14ac:dyDescent="0.25">
      <c r="A188" s="16"/>
      <c r="B188" s="58"/>
      <c r="C188" s="27" t="s">
        <v>256</v>
      </c>
      <c r="D188" s="44"/>
      <c r="E188" s="71"/>
      <c r="F188" s="58"/>
      <c r="J188" s="16"/>
      <c r="L188" s="103"/>
      <c r="M188" s="103"/>
      <c r="N188" s="104"/>
      <c r="O188" s="104"/>
      <c r="P188" s="103"/>
      <c r="Q188" s="103"/>
      <c r="R188" s="103"/>
      <c r="S188" s="103"/>
      <c r="T188" s="103"/>
      <c r="U188" s="103"/>
      <c r="V188" s="103"/>
      <c r="W188" s="103"/>
      <c r="X188" s="103"/>
      <c r="Y188" s="103"/>
      <c r="Z188" s="103"/>
    </row>
    <row r="189" spans="1:32" ht="16.2" customHeight="1" x14ac:dyDescent="0.25">
      <c r="A189" s="16"/>
      <c r="B189" s="58"/>
      <c r="D189" s="69" t="s">
        <v>257</v>
      </c>
      <c r="E189" s="144">
        <f>IF(MAX(T185:AC185)=0,"-",MAX(T185:AC185))</f>
        <v>7.658669573028634</v>
      </c>
      <c r="F189" s="58" t="s">
        <v>95</v>
      </c>
      <c r="J189" s="16"/>
      <c r="L189" s="103"/>
      <c r="M189" s="103"/>
      <c r="N189" s="103"/>
      <c r="O189" s="103"/>
      <c r="P189" s="103"/>
      <c r="Q189" s="103"/>
      <c r="R189" s="103"/>
      <c r="S189" s="103"/>
      <c r="T189" s="103"/>
      <c r="U189" s="103"/>
      <c r="V189" s="103"/>
      <c r="W189" s="103"/>
      <c r="X189" s="103"/>
      <c r="Y189" s="103"/>
      <c r="Z189" s="103"/>
    </row>
    <row r="190" spans="1:32" ht="13.95" customHeight="1" x14ac:dyDescent="0.25">
      <c r="A190" s="16"/>
      <c r="B190" s="58"/>
      <c r="C190" s="27"/>
      <c r="D190" s="44"/>
      <c r="E190" s="56"/>
      <c r="F190" s="44"/>
      <c r="G190" s="58"/>
      <c r="H190" s="58"/>
      <c r="I190" s="58"/>
      <c r="J190" s="16"/>
    </row>
    <row r="191" spans="1:32" ht="13.8" x14ac:dyDescent="0.25">
      <c r="A191" s="16"/>
      <c r="B191" s="58"/>
      <c r="C191" s="73" t="s">
        <v>129</v>
      </c>
      <c r="D191" s="44"/>
      <c r="E191" s="50"/>
      <c r="F191" s="58"/>
      <c r="G191" s="58"/>
      <c r="H191" s="58"/>
      <c r="I191" s="58"/>
      <c r="J191" s="16"/>
    </row>
    <row r="192" spans="1:32" x14ac:dyDescent="0.25">
      <c r="A192" s="16"/>
      <c r="B192" s="58"/>
      <c r="C192" s="27"/>
      <c r="D192" s="44"/>
      <c r="E192" s="50"/>
      <c r="F192" s="58"/>
      <c r="G192" s="58"/>
      <c r="H192" s="58"/>
      <c r="I192" s="58"/>
      <c r="J192" s="16"/>
    </row>
    <row r="193" spans="1:10" ht="13.8" x14ac:dyDescent="0.25">
      <c r="A193" s="16"/>
      <c r="C193" s="92" t="str">
        <f>IF(AND(E183&gt;0,E183&lt;6),"   Une cogénération semble être une solution intéressante dans votre établissement.","   La cogénération semble ne pas être une solution intéressante.")</f>
        <v xml:space="preserve">   La cogénération semble ne pas être une solution intéressante.</v>
      </c>
      <c r="D193" s="44"/>
      <c r="E193" s="50"/>
      <c r="F193" s="58"/>
      <c r="G193" s="58"/>
      <c r="H193" s="58"/>
      <c r="I193" s="58"/>
      <c r="J193" s="16"/>
    </row>
    <row r="194" spans="1:10" ht="13.8" x14ac:dyDescent="0.25">
      <c r="A194" s="16"/>
      <c r="C194" s="92" t="str">
        <f>IF(AND(E183&gt;0,E183&lt;6),"   Pour aller de l'avant, il est conseillé de faire réaliser une étude de faisabilité par un bureau d'études.","   Il peut être utile de vérifier les paramètres voire de réduire sa taille ou sinon d'abandonner l'idée.")</f>
        <v xml:space="preserve">   Il peut être utile de vérifier les paramètres voire de réduire sa taille ou sinon d'abandonner l'idée.</v>
      </c>
      <c r="D194" s="44"/>
      <c r="E194" s="50"/>
      <c r="F194" s="58"/>
      <c r="G194" s="58"/>
      <c r="H194" s="58"/>
      <c r="I194" s="58"/>
      <c r="J194" s="16"/>
    </row>
    <row r="195" spans="1:10" ht="13.95" customHeight="1" x14ac:dyDescent="0.25">
      <c r="A195" s="16"/>
      <c r="C195" s="27"/>
      <c r="D195" s="27"/>
      <c r="E195" s="27"/>
      <c r="F195" s="27"/>
      <c r="G195" s="58"/>
      <c r="H195" s="58"/>
      <c r="I195" s="58"/>
      <c r="J195" s="16"/>
    </row>
    <row r="196" spans="1:10" ht="7.95" customHeight="1" x14ac:dyDescent="0.25">
      <c r="A196" s="16"/>
      <c r="B196" s="16"/>
      <c r="C196" s="40"/>
      <c r="D196" s="41"/>
      <c r="E196" s="16"/>
      <c r="F196" s="42"/>
      <c r="G196" s="42"/>
      <c r="H196" s="42"/>
      <c r="I196" s="42"/>
      <c r="J196" s="16"/>
    </row>
    <row r="197" spans="1:10" ht="13.2" customHeight="1" x14ac:dyDescent="0.25">
      <c r="A197" s="16"/>
      <c r="D197" s="43"/>
      <c r="J197" s="16"/>
    </row>
    <row r="198" spans="1:10" ht="18.600000000000001" customHeight="1" x14ac:dyDescent="0.25">
      <c r="A198" s="16"/>
      <c r="C198" s="73" t="s">
        <v>301</v>
      </c>
      <c r="D198" s="101" t="str">
        <f>C11</f>
        <v>Projet xxx</v>
      </c>
      <c r="E198" s="28"/>
      <c r="J198" s="16"/>
    </row>
    <row r="199" spans="1:10" ht="18.600000000000001" customHeight="1" x14ac:dyDescent="0.25">
      <c r="A199" s="16"/>
      <c r="C199" s="28"/>
      <c r="E199" s="28"/>
      <c r="J199" s="16"/>
    </row>
    <row r="200" spans="1:10" ht="18.600000000000001" customHeight="1" x14ac:dyDescent="0.25">
      <c r="A200" s="16"/>
      <c r="C200" s="113" t="s">
        <v>303</v>
      </c>
      <c r="D200" s="132">
        <f>IF(E28=0,F28,E28)</f>
        <v>559970</v>
      </c>
      <c r="E200" s="114" t="s">
        <v>305</v>
      </c>
      <c r="J200" s="16"/>
    </row>
    <row r="201" spans="1:10" ht="18.600000000000001" customHeight="1" x14ac:dyDescent="0.25">
      <c r="A201" s="16"/>
      <c r="C201" s="113" t="s">
        <v>302</v>
      </c>
      <c r="D201" s="147" t="str">
        <f>INDEX(Parametres!B6:B12,Parametres!C5)</f>
        <v>C - Diurne, 7 j sur 7 (centres sportifs)</v>
      </c>
      <c r="E201" s="113"/>
      <c r="J201" s="16"/>
    </row>
    <row r="202" spans="1:10" ht="18.600000000000001" customHeight="1" x14ac:dyDescent="0.25">
      <c r="A202" s="16"/>
      <c r="C202" s="113" t="s">
        <v>304</v>
      </c>
      <c r="D202" s="132">
        <f>IF(E87=0,F87,E87)</f>
        <v>240766</v>
      </c>
      <c r="E202" s="114" t="s">
        <v>306</v>
      </c>
      <c r="J202" s="16"/>
    </row>
    <row r="203" spans="1:10" ht="18.600000000000001" customHeight="1" x14ac:dyDescent="0.25">
      <c r="A203" s="16"/>
      <c r="C203" s="113" t="s">
        <v>307</v>
      </c>
      <c r="D203" s="148" t="str">
        <f>INDEX(Parametres!B30:B35,Parametres!C27)</f>
        <v>Moteurs au gaz naturel</v>
      </c>
      <c r="E203" s="114"/>
      <c r="J203" s="16"/>
    </row>
    <row r="204" spans="1:10" ht="18.600000000000001" customHeight="1" x14ac:dyDescent="0.25">
      <c r="A204" s="16"/>
      <c r="C204" s="113" t="s">
        <v>308</v>
      </c>
      <c r="D204" s="149">
        <f>E57</f>
        <v>46.55197970531384</v>
      </c>
      <c r="E204" s="114" t="s">
        <v>172</v>
      </c>
      <c r="J204" s="16"/>
    </row>
    <row r="205" spans="1:10" ht="18.600000000000001" customHeight="1" x14ac:dyDescent="0.25">
      <c r="A205" s="16"/>
      <c r="C205" s="113" t="s">
        <v>309</v>
      </c>
      <c r="D205" s="149">
        <f>E72</f>
        <v>24.54326761903183</v>
      </c>
      <c r="E205" s="113" t="s">
        <v>315</v>
      </c>
      <c r="J205" s="16"/>
    </row>
    <row r="206" spans="1:10" ht="18.600000000000001" customHeight="1" x14ac:dyDescent="0.25">
      <c r="A206" s="16"/>
      <c r="C206" s="113" t="s">
        <v>310</v>
      </c>
      <c r="D206" s="149">
        <f>E50</f>
        <v>5230.0000000009495</v>
      </c>
      <c r="E206" s="114" t="s">
        <v>316</v>
      </c>
      <c r="J206" s="16"/>
    </row>
    <row r="207" spans="1:10" ht="18.600000000000001" customHeight="1" x14ac:dyDescent="0.25">
      <c r="A207" s="16"/>
      <c r="C207" s="113" t="s">
        <v>311</v>
      </c>
      <c r="D207" s="149">
        <f>E61</f>
        <v>243466.85385883559</v>
      </c>
      <c r="E207" s="114" t="s">
        <v>305</v>
      </c>
      <c r="J207" s="16"/>
    </row>
    <row r="208" spans="1:10" ht="18.600000000000001" customHeight="1" x14ac:dyDescent="0.25">
      <c r="A208" s="16"/>
      <c r="C208" s="113" t="s">
        <v>312</v>
      </c>
      <c r="D208" s="149">
        <f>E78</f>
        <v>128361.28964755978</v>
      </c>
      <c r="E208" s="114" t="s">
        <v>306</v>
      </c>
      <c r="J208" s="16"/>
    </row>
    <row r="209" spans="1:10" ht="18.600000000000001" customHeight="1" x14ac:dyDescent="0.25">
      <c r="A209" s="16"/>
      <c r="C209" s="113" t="s">
        <v>313</v>
      </c>
      <c r="D209" s="149">
        <f>E181</f>
        <v>12617.00095797259</v>
      </c>
      <c r="E209" s="113" t="s">
        <v>62</v>
      </c>
      <c r="J209" s="16"/>
    </row>
    <row r="210" spans="1:10" ht="18.600000000000001" customHeight="1" x14ac:dyDescent="0.25">
      <c r="A210" s="16"/>
      <c r="C210" s="113" t="s">
        <v>314</v>
      </c>
      <c r="D210" s="149">
        <f>E137</f>
        <v>6942.8192712833106</v>
      </c>
      <c r="E210" s="113" t="s">
        <v>62</v>
      </c>
      <c r="J210" s="16"/>
    </row>
    <row r="211" spans="1:10" ht="18.600000000000001" customHeight="1" x14ac:dyDescent="0.25">
      <c r="A211" s="16"/>
      <c r="C211" s="113" t="s">
        <v>317</v>
      </c>
      <c r="D211" s="149">
        <f>E123</f>
        <v>18832.397273355979</v>
      </c>
      <c r="E211" s="113" t="s">
        <v>74</v>
      </c>
      <c r="J211" s="16"/>
    </row>
    <row r="212" spans="1:10" ht="18.600000000000001" customHeight="1" x14ac:dyDescent="0.25">
      <c r="A212" s="16"/>
      <c r="C212" s="113" t="s">
        <v>318</v>
      </c>
      <c r="D212" s="149">
        <f>E133</f>
        <v>86.785240891041383</v>
      </c>
      <c r="E212" s="113" t="s">
        <v>319</v>
      </c>
      <c r="J212" s="16"/>
    </row>
    <row r="213" spans="1:10" ht="18.600000000000001" customHeight="1" x14ac:dyDescent="0.25">
      <c r="A213" s="16"/>
      <c r="C213" s="113" t="str">
        <f>INDEX(Parametres!D85:D87,Parametres!C80)</f>
        <v>La cogénération est couplée à un stockage de chaleur de :</v>
      </c>
      <c r="D213" s="150">
        <f>E45</f>
        <v>1.1803240290393977</v>
      </c>
      <c r="E213" s="113" t="str">
        <f>IF(I213=1,"","m3")</f>
        <v>m3</v>
      </c>
      <c r="I213" s="116">
        <f>Parametres!C80</f>
        <v>2</v>
      </c>
      <c r="J213" s="16"/>
    </row>
    <row r="214" spans="1:10" ht="18.600000000000001" customHeight="1" x14ac:dyDescent="0.25">
      <c r="A214" s="16"/>
      <c r="C214" s="113"/>
      <c r="D214" s="134"/>
      <c r="E214" s="113"/>
      <c r="J214" s="16"/>
    </row>
    <row r="215" spans="1:10" ht="18.600000000000001" customHeight="1" x14ac:dyDescent="0.25">
      <c r="A215" s="16"/>
      <c r="C215" s="113" t="s">
        <v>324</v>
      </c>
      <c r="D215" s="149">
        <f>E175</f>
        <v>86143.617707227153</v>
      </c>
      <c r="E215" s="113" t="s">
        <v>322</v>
      </c>
      <c r="J215" s="16"/>
    </row>
    <row r="216" spans="1:10" ht="18.600000000000001" customHeight="1" x14ac:dyDescent="0.25">
      <c r="A216" s="16"/>
      <c r="C216" s="113" t="s">
        <v>320</v>
      </c>
      <c r="D216" s="150">
        <f>E183</f>
        <v>6.8275827190766467</v>
      </c>
      <c r="E216" s="113" t="s">
        <v>95</v>
      </c>
      <c r="J216" s="16"/>
    </row>
    <row r="217" spans="1:10" ht="18.600000000000001" customHeight="1" x14ac:dyDescent="0.25">
      <c r="A217" s="16"/>
      <c r="C217" s="113" t="s">
        <v>321</v>
      </c>
      <c r="D217" s="150">
        <f>E185</f>
        <v>9.4976985957502471</v>
      </c>
      <c r="E217" s="113" t="s">
        <v>252</v>
      </c>
      <c r="J217" s="16"/>
    </row>
    <row r="218" spans="1:10" ht="18.600000000000001" customHeight="1" x14ac:dyDescent="0.25">
      <c r="A218" s="16"/>
      <c r="C218" s="113" t="s">
        <v>323</v>
      </c>
      <c r="D218" s="150">
        <f>E189</f>
        <v>7.658669573028634</v>
      </c>
      <c r="E218" s="113" t="s">
        <v>95</v>
      </c>
      <c r="J218" s="16"/>
    </row>
    <row r="219" spans="1:10" x14ac:dyDescent="0.25">
      <c r="A219" s="16"/>
      <c r="J219" s="16"/>
    </row>
    <row r="220" spans="1:10" ht="8.6999999999999993" customHeight="1" x14ac:dyDescent="0.25">
      <c r="A220" s="16"/>
      <c r="B220" s="16"/>
      <c r="C220" s="16"/>
      <c r="D220" s="16"/>
      <c r="E220" s="16"/>
      <c r="F220" s="16"/>
      <c r="G220" s="16"/>
      <c r="H220" s="16"/>
      <c r="I220" s="16"/>
      <c r="J220" s="16"/>
    </row>
  </sheetData>
  <mergeCells count="7">
    <mergeCell ref="G30:I37"/>
    <mergeCell ref="C8:G8"/>
    <mergeCell ref="C11:G11"/>
    <mergeCell ref="C3:H3"/>
    <mergeCell ref="C4:H4"/>
    <mergeCell ref="C6:G6"/>
    <mergeCell ref="C7:G7"/>
  </mergeCells>
  <phoneticPr fontId="0" type="noConversion"/>
  <conditionalFormatting sqref="G127:H127">
    <cfRule type="expression" dxfId="7" priority="1" stopIfTrue="1">
      <formula>G$128=1</formula>
    </cfRule>
  </conditionalFormatting>
  <conditionalFormatting sqref="C193:C194">
    <cfRule type="expression" dxfId="6" priority="2" stopIfTrue="1">
      <formula>AND($E$183&gt;0,$E$183&lt;6)</formula>
    </cfRule>
  </conditionalFormatting>
  <conditionalFormatting sqref="E183 E189">
    <cfRule type="cellIs" dxfId="5" priority="3" stopIfTrue="1" operator="between">
      <formula>0</formula>
      <formula>6</formula>
    </cfRule>
  </conditionalFormatting>
  <conditionalFormatting sqref="E187">
    <cfRule type="cellIs" dxfId="4" priority="4" stopIfTrue="1" operator="greaterThan">
      <formula>0</formula>
    </cfRule>
  </conditionalFormatting>
  <conditionalFormatting sqref="E185">
    <cfRule type="cellIs" dxfId="3" priority="5" stopIfTrue="1" operator="greaterThanOrEqual">
      <formula>0.05</formula>
    </cfRule>
  </conditionalFormatting>
  <conditionalFormatting sqref="D213">
    <cfRule type="expression" dxfId="2" priority="6" stopIfTrue="1">
      <formula>$I$213=1</formula>
    </cfRule>
  </conditionalFormatting>
  <conditionalFormatting sqref="E24:E26">
    <cfRule type="expression" dxfId="1" priority="7" stopIfTrue="1">
      <formula>$I$20=18</formula>
    </cfRule>
  </conditionalFormatting>
  <conditionalFormatting sqref="F127">
    <cfRule type="expression" dxfId="0" priority="9" stopIfTrue="1">
      <formula>$F$128=1</formula>
    </cfRule>
  </conditionalFormatting>
  <printOptions horizontalCentered="1"/>
  <pageMargins left="0.43307086614173229" right="0.39370078740157483" top="0.47244094488188981" bottom="0.47244094488188981" header="0.35433070866141736" footer="0.35433070866141736"/>
  <pageSetup paperSize="9" scale="65" fitToHeight="3" pageOrder="overThenDown" orientation="portrait" r:id="rId1"/>
  <headerFooter alignWithMargins="0"/>
  <rowBreaks count="3" manualBreakCount="3">
    <brk id="65" max="9" man="1"/>
    <brk id="116" max="9" man="1"/>
    <brk id="158" max="9" man="1"/>
  </rowBreaks>
  <drawing r:id="rId2"/>
  <legacyDrawing r:id="rId3"/>
  <mc:AlternateContent xmlns:mc="http://schemas.openxmlformats.org/markup-compatibility/2006">
    <mc:Choice Requires="x14">
      <controls>
        <mc:AlternateContent xmlns:mc="http://schemas.openxmlformats.org/markup-compatibility/2006">
          <mc:Choice Requires="x14">
            <control shapeId="1026" r:id="rId4" name="Drop Down 2">
              <controlPr defaultSize="0" autoLine="0" autoPict="0">
                <anchor moveWithCells="1">
                  <from>
                    <xdr:col>2</xdr:col>
                    <xdr:colOff>2750820</xdr:colOff>
                    <xdr:row>41</xdr:row>
                    <xdr:rowOff>0</xdr:rowOff>
                  </from>
                  <to>
                    <xdr:col>5</xdr:col>
                    <xdr:colOff>1097280</xdr:colOff>
                    <xdr:row>42</xdr:row>
                    <xdr:rowOff>38100</xdr:rowOff>
                  </to>
                </anchor>
              </controlPr>
            </control>
          </mc:Choice>
        </mc:AlternateContent>
        <mc:AlternateContent xmlns:mc="http://schemas.openxmlformats.org/markup-compatibility/2006">
          <mc:Choice Requires="x14">
            <control shapeId="1038" r:id="rId5" name="Drop Down 14">
              <controlPr defaultSize="0" autoLine="0" autoPict="0">
                <anchor moveWithCells="1">
                  <from>
                    <xdr:col>3</xdr:col>
                    <xdr:colOff>762000</xdr:colOff>
                    <xdr:row>68</xdr:row>
                    <xdr:rowOff>0</xdr:rowOff>
                  </from>
                  <to>
                    <xdr:col>5</xdr:col>
                    <xdr:colOff>640080</xdr:colOff>
                    <xdr:row>69</xdr:row>
                    <xdr:rowOff>38100</xdr:rowOff>
                  </to>
                </anchor>
              </controlPr>
            </control>
          </mc:Choice>
        </mc:AlternateContent>
        <mc:AlternateContent xmlns:mc="http://schemas.openxmlformats.org/markup-compatibility/2006">
          <mc:Choice Requires="x14">
            <control shapeId="1118" r:id="rId6" name="Drop Down 94">
              <controlPr defaultSize="0" autoLine="0" autoPict="0">
                <anchor moveWithCells="1">
                  <from>
                    <xdr:col>4</xdr:col>
                    <xdr:colOff>304800</xdr:colOff>
                    <xdr:row>17</xdr:row>
                    <xdr:rowOff>137160</xdr:rowOff>
                  </from>
                  <to>
                    <xdr:col>5</xdr:col>
                    <xdr:colOff>990600</xdr:colOff>
                    <xdr:row>19</xdr:row>
                    <xdr:rowOff>7620</xdr:rowOff>
                  </to>
                </anchor>
              </controlPr>
            </control>
          </mc:Choice>
        </mc:AlternateContent>
        <mc:AlternateContent xmlns:mc="http://schemas.openxmlformats.org/markup-compatibility/2006">
          <mc:Choice Requires="x14">
            <control shapeId="1147" r:id="rId7" name="Drop Down 123">
              <controlPr defaultSize="0" autoLine="0" autoPict="0">
                <anchor moveWithCells="1">
                  <from>
                    <xdr:col>2</xdr:col>
                    <xdr:colOff>3459480</xdr:colOff>
                    <xdr:row>19</xdr:row>
                    <xdr:rowOff>152400</xdr:rowOff>
                  </from>
                  <to>
                    <xdr:col>5</xdr:col>
                    <xdr:colOff>998220</xdr:colOff>
                    <xdr:row>21</xdr:row>
                    <xdr:rowOff>22860</xdr:rowOff>
                  </to>
                </anchor>
              </controlPr>
            </control>
          </mc:Choice>
        </mc:AlternateContent>
        <mc:AlternateContent xmlns:mc="http://schemas.openxmlformats.org/markup-compatibility/2006">
          <mc:Choice Requires="x14">
            <control shapeId="1152" r:id="rId8" name="Drop Down 128">
              <controlPr defaultSize="0" autoLine="0" autoPict="0">
                <anchor moveWithCells="1">
                  <from>
                    <xdr:col>2</xdr:col>
                    <xdr:colOff>2278380</xdr:colOff>
                    <xdr:row>43</xdr:row>
                    <xdr:rowOff>160020</xdr:rowOff>
                  </from>
                  <to>
                    <xdr:col>3</xdr:col>
                    <xdr:colOff>876300</xdr:colOff>
                    <xdr:row>45</xdr:row>
                    <xdr:rowOff>22860</xdr:rowOff>
                  </to>
                </anchor>
              </controlPr>
            </control>
          </mc:Choice>
        </mc:AlternateContent>
        <mc:AlternateContent xmlns:mc="http://schemas.openxmlformats.org/markup-compatibility/2006">
          <mc:Choice Requires="x14">
            <control shapeId="1176" r:id="rId9" name="Drop Down 152">
              <controlPr defaultSize="0" autoLine="0" autoPict="0">
                <anchor moveWithCells="1">
                  <from>
                    <xdr:col>3</xdr:col>
                    <xdr:colOff>533400</xdr:colOff>
                    <xdr:row>117</xdr:row>
                    <xdr:rowOff>0</xdr:rowOff>
                  </from>
                  <to>
                    <xdr:col>5</xdr:col>
                    <xdr:colOff>213360</xdr:colOff>
                    <xdr:row>118</xdr:row>
                    <xdr:rowOff>22860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H28"/>
  <sheetViews>
    <sheetView topLeftCell="A4" workbookViewId="0">
      <selection activeCell="C36" sqref="C36"/>
    </sheetView>
  </sheetViews>
  <sheetFormatPr baseColWidth="10" defaultRowHeight="13.2" x14ac:dyDescent="0.25"/>
  <cols>
    <col min="1" max="1" width="19.5546875" bestFit="1" customWidth="1"/>
    <col min="2" max="2" width="19.5546875" customWidth="1"/>
    <col min="3" max="3" width="21" customWidth="1"/>
    <col min="5" max="5" width="19.88671875" customWidth="1"/>
    <col min="7" max="7" width="28.44140625" customWidth="1"/>
    <col min="8" max="8" width="27.44140625" bestFit="1" customWidth="1"/>
  </cols>
  <sheetData>
    <row r="2" spans="1:8" x14ac:dyDescent="0.25">
      <c r="A2" s="163" t="s">
        <v>422</v>
      </c>
      <c r="B2" s="163"/>
      <c r="C2" s="163" t="s">
        <v>439</v>
      </c>
    </row>
    <row r="3" spans="1:8" x14ac:dyDescent="0.25">
      <c r="C3" s="163" t="s">
        <v>440</v>
      </c>
    </row>
    <row r="5" spans="1:8" x14ac:dyDescent="0.25">
      <c r="A5" s="166" t="s">
        <v>423</v>
      </c>
      <c r="B5" s="166"/>
    </row>
    <row r="7" spans="1:8" x14ac:dyDescent="0.25">
      <c r="A7" s="164" t="s">
        <v>424</v>
      </c>
      <c r="B7" s="164"/>
      <c r="C7" s="164"/>
      <c r="D7" s="164">
        <v>1</v>
      </c>
      <c r="E7" s="164"/>
      <c r="F7" s="164"/>
      <c r="G7" s="164"/>
      <c r="H7" s="164" t="s">
        <v>442</v>
      </c>
    </row>
    <row r="8" spans="1:8" x14ac:dyDescent="0.25">
      <c r="A8" s="164" t="s">
        <v>425</v>
      </c>
      <c r="B8" s="164"/>
      <c r="C8" s="164" t="s">
        <v>444</v>
      </c>
      <c r="D8" s="164">
        <v>2.5</v>
      </c>
      <c r="E8" s="164"/>
      <c r="F8" s="164"/>
      <c r="G8" s="164"/>
      <c r="H8" s="164" t="s">
        <v>441</v>
      </c>
    </row>
    <row r="9" spans="1:8" x14ac:dyDescent="0.25">
      <c r="A9" s="164"/>
      <c r="B9" s="164"/>
      <c r="C9" s="164" t="s">
        <v>443</v>
      </c>
      <c r="D9" s="164">
        <v>3</v>
      </c>
      <c r="E9" s="164"/>
      <c r="F9" s="164"/>
      <c r="G9" s="164"/>
      <c r="H9" s="164"/>
    </row>
    <row r="10" spans="1:8" x14ac:dyDescent="0.25">
      <c r="A10" s="164"/>
      <c r="B10" s="164"/>
      <c r="C10" s="164" t="s">
        <v>427</v>
      </c>
      <c r="D10" s="164">
        <v>3</v>
      </c>
      <c r="E10" s="164"/>
      <c r="F10" s="164"/>
      <c r="G10" s="164"/>
      <c r="H10" s="164"/>
    </row>
    <row r="11" spans="1:8" x14ac:dyDescent="0.25">
      <c r="A11" s="164"/>
      <c r="B11" s="164"/>
      <c r="C11" s="164" t="s">
        <v>428</v>
      </c>
      <c r="D11" s="164">
        <v>3</v>
      </c>
      <c r="E11" s="164"/>
      <c r="F11" s="164"/>
      <c r="G11" s="164"/>
      <c r="H11" s="164"/>
    </row>
    <row r="12" spans="1:8" x14ac:dyDescent="0.25">
      <c r="A12" s="164"/>
      <c r="B12" s="164"/>
      <c r="C12" s="164" t="s">
        <v>429</v>
      </c>
      <c r="D12" s="164">
        <v>1.5</v>
      </c>
      <c r="E12" s="164"/>
      <c r="F12" s="164"/>
      <c r="G12" s="164"/>
      <c r="H12" s="164"/>
    </row>
    <row r="13" spans="1:8" x14ac:dyDescent="0.25">
      <c r="A13" s="164" t="s">
        <v>436</v>
      </c>
      <c r="B13" s="164"/>
      <c r="C13" s="164" t="s">
        <v>426</v>
      </c>
      <c r="D13" s="164">
        <v>1.5</v>
      </c>
      <c r="E13" s="164" t="s">
        <v>430</v>
      </c>
      <c r="F13" s="164"/>
      <c r="G13" s="164"/>
      <c r="H13" s="164"/>
    </row>
    <row r="14" spans="1:8" x14ac:dyDescent="0.25">
      <c r="A14" s="164"/>
      <c r="B14" s="164"/>
      <c r="C14" s="164" t="s">
        <v>437</v>
      </c>
      <c r="D14" s="164">
        <v>1.5</v>
      </c>
      <c r="E14" s="164"/>
      <c r="F14" s="164"/>
      <c r="G14" s="164"/>
      <c r="H14" s="164"/>
    </row>
    <row r="15" spans="1:8" x14ac:dyDescent="0.25">
      <c r="A15" s="164"/>
      <c r="B15" s="164"/>
      <c r="C15" s="164" t="s">
        <v>434</v>
      </c>
      <c r="D15" s="164">
        <v>1.5</v>
      </c>
      <c r="E15" s="164"/>
      <c r="F15" s="164"/>
      <c r="G15" s="164"/>
      <c r="H15" s="164"/>
    </row>
    <row r="16" spans="1:8" x14ac:dyDescent="0.25">
      <c r="A16" s="164"/>
      <c r="B16" s="164"/>
      <c r="C16" s="164" t="s">
        <v>435</v>
      </c>
      <c r="D16" s="164">
        <v>1.5</v>
      </c>
      <c r="E16" s="164"/>
      <c r="F16" s="164"/>
      <c r="G16" s="164"/>
      <c r="H16" s="164"/>
    </row>
    <row r="17" spans="1:8" x14ac:dyDescent="0.25">
      <c r="A17" s="164" t="s">
        <v>438</v>
      </c>
      <c r="B17" s="164"/>
      <c r="C17" s="164" t="s">
        <v>426</v>
      </c>
      <c r="D17" s="164">
        <v>1.5</v>
      </c>
      <c r="E17" s="164" t="s">
        <v>430</v>
      </c>
      <c r="F17" s="164"/>
      <c r="G17" s="164"/>
      <c r="H17" s="165"/>
    </row>
    <row r="18" spans="1:8" x14ac:dyDescent="0.25">
      <c r="A18" s="164"/>
      <c r="B18" s="164"/>
      <c r="C18" s="164"/>
      <c r="D18" s="164">
        <v>2.5</v>
      </c>
      <c r="E18" s="164" t="s">
        <v>430</v>
      </c>
      <c r="F18" s="164"/>
      <c r="G18" s="164"/>
      <c r="H18" s="165"/>
    </row>
    <row r="19" spans="1:8" x14ac:dyDescent="0.25">
      <c r="A19" s="163" t="s">
        <v>421</v>
      </c>
      <c r="B19" s="163">
        <v>100</v>
      </c>
      <c r="C19" s="163" t="s">
        <v>432</v>
      </c>
      <c r="D19">
        <v>1</v>
      </c>
    </row>
    <row r="20" spans="1:8" x14ac:dyDescent="0.25">
      <c r="B20">
        <v>500</v>
      </c>
      <c r="C20" s="163" t="s">
        <v>433</v>
      </c>
      <c r="D20">
        <v>1</v>
      </c>
    </row>
    <row r="21" spans="1:8" x14ac:dyDescent="0.25">
      <c r="B21">
        <v>1000</v>
      </c>
      <c r="C21" s="163" t="s">
        <v>434</v>
      </c>
      <c r="D21">
        <v>1</v>
      </c>
    </row>
    <row r="22" spans="1:8" x14ac:dyDescent="0.25">
      <c r="B22">
        <v>5000</v>
      </c>
      <c r="C22" s="163" t="s">
        <v>435</v>
      </c>
      <c r="D22">
        <v>1</v>
      </c>
    </row>
    <row r="23" spans="1:8" x14ac:dyDescent="0.25">
      <c r="B23" s="163">
        <v>5000</v>
      </c>
      <c r="C23" t="s">
        <v>426</v>
      </c>
      <c r="D23">
        <v>1</v>
      </c>
      <c r="E23" s="163" t="s">
        <v>430</v>
      </c>
    </row>
    <row r="24" spans="1:8" x14ac:dyDescent="0.25">
      <c r="A24" s="163" t="s">
        <v>431</v>
      </c>
      <c r="B24" s="163">
        <v>100</v>
      </c>
      <c r="C24" s="163" t="s">
        <v>432</v>
      </c>
      <c r="D24">
        <v>1</v>
      </c>
    </row>
    <row r="25" spans="1:8" x14ac:dyDescent="0.25">
      <c r="B25">
        <v>500</v>
      </c>
      <c r="C25" s="163" t="s">
        <v>433</v>
      </c>
      <c r="D25">
        <v>1</v>
      </c>
    </row>
    <row r="26" spans="1:8" x14ac:dyDescent="0.25">
      <c r="B26">
        <v>1000</v>
      </c>
      <c r="C26" s="163" t="s">
        <v>434</v>
      </c>
      <c r="D26">
        <v>1</v>
      </c>
    </row>
    <row r="27" spans="1:8" x14ac:dyDescent="0.25">
      <c r="B27">
        <v>5000</v>
      </c>
      <c r="C27" s="163" t="s">
        <v>435</v>
      </c>
      <c r="D27">
        <v>1</v>
      </c>
    </row>
    <row r="28" spans="1:8" x14ac:dyDescent="0.25">
      <c r="B28" s="163">
        <v>5000</v>
      </c>
      <c r="C28" t="s">
        <v>426</v>
      </c>
      <c r="D28">
        <v>1</v>
      </c>
      <c r="E28" s="163" t="s">
        <v>430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1"/>
  <dimension ref="A1:BJ112"/>
  <sheetViews>
    <sheetView topLeftCell="B1" workbookViewId="0">
      <selection activeCell="C19" sqref="C19"/>
    </sheetView>
  </sheetViews>
  <sheetFormatPr baseColWidth="10" defaultColWidth="11.5546875" defaultRowHeight="13.2" x14ac:dyDescent="0.25"/>
  <cols>
    <col min="1" max="1" width="17.33203125" style="3" hidden="1" customWidth="1"/>
    <col min="2" max="2" width="58.109375" style="3" customWidth="1"/>
    <col min="3" max="3" width="54.6640625" style="3" customWidth="1"/>
    <col min="4" max="12" width="14.109375" style="3" customWidth="1"/>
    <col min="13" max="13" width="19.88671875" style="3" customWidth="1"/>
    <col min="14" max="14" width="11.6640625" style="3" bestFit="1" customWidth="1"/>
    <col min="15" max="15" width="19.44140625" style="3" bestFit="1" customWidth="1"/>
    <col min="16" max="16" width="11.6640625" style="3" bestFit="1" customWidth="1"/>
    <col min="17" max="17" width="21.6640625" style="3" bestFit="1" customWidth="1"/>
    <col min="18" max="28" width="11.5546875" style="3" customWidth="1"/>
    <col min="29" max="29" width="45.44140625" style="3" bestFit="1" customWidth="1"/>
    <col min="30" max="32" width="6.88671875" style="3" customWidth="1"/>
    <col min="33" max="33" width="48.6640625" style="3" bestFit="1" customWidth="1"/>
    <col min="34" max="34" width="10.5546875" style="3" bestFit="1" customWidth="1"/>
    <col min="35" max="35" width="7.88671875" style="3" customWidth="1"/>
    <col min="36" max="45" width="6.88671875" style="3" customWidth="1"/>
    <col min="46" max="46" width="7.109375" style="3" customWidth="1"/>
    <col min="47" max="53" width="6.88671875" style="3" customWidth="1"/>
    <col min="54" max="16384" width="11.5546875" style="3"/>
  </cols>
  <sheetData>
    <row r="1" spans="1:57" x14ac:dyDescent="0.25">
      <c r="A1" s="84" t="s">
        <v>154</v>
      </c>
      <c r="B1" s="8" t="s">
        <v>69</v>
      </c>
      <c r="C1" s="89">
        <v>1</v>
      </c>
      <c r="G1" s="4"/>
      <c r="H1" s="4"/>
      <c r="AG1" s="1"/>
      <c r="AH1" s="3">
        <f>$C$5*4-3</f>
        <v>9</v>
      </c>
      <c r="AI1" s="46"/>
      <c r="AJ1" s="46"/>
      <c r="AK1" s="46"/>
      <c r="AL1" s="46"/>
      <c r="AM1" s="46"/>
      <c r="AN1" s="46"/>
      <c r="AO1" s="46"/>
      <c r="AP1" s="46"/>
      <c r="AQ1" s="46"/>
      <c r="AR1" s="46"/>
      <c r="AS1" s="46"/>
      <c r="AT1" s="46"/>
      <c r="AU1" s="46"/>
      <c r="AV1" s="46"/>
      <c r="AW1" s="46"/>
      <c r="AX1" s="46"/>
      <c r="AY1" s="46"/>
      <c r="AZ1" s="46"/>
      <c r="BA1" s="46"/>
      <c r="BB1" s="46"/>
      <c r="BC1" s="46"/>
      <c r="BD1" s="46"/>
      <c r="BE1" s="46"/>
    </row>
    <row r="2" spans="1:57" x14ac:dyDescent="0.25">
      <c r="A2" s="85" t="s">
        <v>155</v>
      </c>
      <c r="B2" s="3" t="s">
        <v>70</v>
      </c>
      <c r="G2" s="5"/>
      <c r="H2" s="5"/>
      <c r="I2" s="6"/>
      <c r="J2" s="7"/>
      <c r="AG2" s="2" t="s">
        <v>38</v>
      </c>
      <c r="AH2" s="48">
        <f t="shared" ref="AH2:BE2" si="0">INDEX(AH6:AH32,$C$5*4-3)</f>
        <v>3.4</v>
      </c>
      <c r="AI2" s="48">
        <f t="shared" si="0"/>
        <v>3.47</v>
      </c>
      <c r="AJ2" s="48">
        <f t="shared" si="0"/>
        <v>3.43</v>
      </c>
      <c r="AK2" s="48">
        <f t="shared" si="0"/>
        <v>3.5</v>
      </c>
      <c r="AL2" s="48">
        <f t="shared" si="0"/>
        <v>3.67</v>
      </c>
      <c r="AM2" s="48">
        <f t="shared" si="0"/>
        <v>3.94</v>
      </c>
      <c r="AN2" s="48">
        <f t="shared" si="0"/>
        <v>4.2300000000000004</v>
      </c>
      <c r="AO2" s="48">
        <f t="shared" si="0"/>
        <v>4.7300000000000004</v>
      </c>
      <c r="AP2" s="48">
        <f t="shared" si="0"/>
        <v>4.7</v>
      </c>
      <c r="AQ2" s="48">
        <f t="shared" si="0"/>
        <v>4.7</v>
      </c>
      <c r="AR2" s="48">
        <f t="shared" si="0"/>
        <v>4.7</v>
      </c>
      <c r="AS2" s="48">
        <f t="shared" si="0"/>
        <v>4.6100000000000003</v>
      </c>
      <c r="AT2" s="48">
        <f t="shared" si="0"/>
        <v>4.4800000000000004</v>
      </c>
      <c r="AU2" s="48">
        <f t="shared" si="0"/>
        <v>4.38</v>
      </c>
      <c r="AV2" s="48">
        <f t="shared" si="0"/>
        <v>4.37</v>
      </c>
      <c r="AW2" s="48">
        <f t="shared" si="0"/>
        <v>4.42</v>
      </c>
      <c r="AX2" s="48">
        <f t="shared" si="0"/>
        <v>4.37</v>
      </c>
      <c r="AY2" s="48">
        <f t="shared" si="0"/>
        <v>4.45</v>
      </c>
      <c r="AZ2" s="48">
        <f t="shared" si="0"/>
        <v>4.71</v>
      </c>
      <c r="BA2" s="48">
        <f t="shared" si="0"/>
        <v>4.4800000000000004</v>
      </c>
      <c r="BB2" s="48">
        <f t="shared" si="0"/>
        <v>4.24</v>
      </c>
      <c r="BC2" s="48">
        <f t="shared" si="0"/>
        <v>4.25</v>
      </c>
      <c r="BD2" s="48">
        <f t="shared" si="0"/>
        <v>3.41</v>
      </c>
      <c r="BE2" s="48">
        <f t="shared" si="0"/>
        <v>3.36</v>
      </c>
    </row>
    <row r="3" spans="1:57" x14ac:dyDescent="0.25">
      <c r="A3" s="85" t="s">
        <v>156</v>
      </c>
      <c r="B3" s="3" t="s">
        <v>71</v>
      </c>
      <c r="G3" s="5"/>
      <c r="H3" s="5"/>
      <c r="I3" s="6"/>
      <c r="J3" s="7"/>
      <c r="AG3" s="2" t="s">
        <v>39</v>
      </c>
      <c r="AH3" s="48">
        <f t="shared" ref="AH3:AN3" si="1">INDEX(AH6:AH32,$C$5*4-2)</f>
        <v>14.4</v>
      </c>
      <c r="AI3" s="48">
        <f t="shared" si="1"/>
        <v>15.1</v>
      </c>
      <c r="AJ3" s="48">
        <f t="shared" si="1"/>
        <v>14.86</v>
      </c>
      <c r="AK3" s="48">
        <f t="shared" si="1"/>
        <v>14.93</v>
      </c>
      <c r="AL3" s="48">
        <f t="shared" si="1"/>
        <v>14.72</v>
      </c>
      <c r="AM3" s="48">
        <f t="shared" si="1"/>
        <v>13.28</v>
      </c>
      <c r="AN3" s="48">
        <f t="shared" si="1"/>
        <v>12.71</v>
      </c>
      <c r="AO3" s="47"/>
      <c r="AP3" s="47"/>
      <c r="AQ3" s="47"/>
      <c r="AR3" s="47"/>
      <c r="AS3" s="47"/>
      <c r="AT3" s="47"/>
      <c r="AU3" s="47"/>
      <c r="AV3" s="47"/>
      <c r="AW3" s="47"/>
      <c r="AX3" s="47"/>
      <c r="AY3" s="47"/>
      <c r="AZ3" s="47"/>
      <c r="BA3" s="47"/>
      <c r="BB3" s="47"/>
      <c r="BC3" s="47"/>
      <c r="BD3" s="47"/>
      <c r="BE3" s="47"/>
    </row>
    <row r="4" spans="1:57" x14ac:dyDescent="0.25">
      <c r="A4" s="85"/>
      <c r="G4" s="5"/>
      <c r="H4" s="5"/>
      <c r="I4" s="6"/>
      <c r="J4" s="7"/>
      <c r="AG4" s="2" t="s">
        <v>40</v>
      </c>
      <c r="AH4" s="48">
        <f t="shared" ref="AH4:AS4" si="2">INDEX(AH6:AH32,$C$5*4-1)</f>
        <v>13.98</v>
      </c>
      <c r="AI4" s="48">
        <f t="shared" si="2"/>
        <v>12.79</v>
      </c>
      <c r="AJ4" s="48">
        <f t="shared" si="2"/>
        <v>11.46</v>
      </c>
      <c r="AK4" s="48">
        <f t="shared" si="2"/>
        <v>9.0299999999999994</v>
      </c>
      <c r="AL4" s="48">
        <f t="shared" si="2"/>
        <v>5.86</v>
      </c>
      <c r="AM4" s="48">
        <f t="shared" si="2"/>
        <v>4.1500000000000004</v>
      </c>
      <c r="AN4" s="48">
        <f t="shared" si="2"/>
        <v>3.23</v>
      </c>
      <c r="AO4" s="48">
        <f t="shared" si="2"/>
        <v>3.2</v>
      </c>
      <c r="AP4" s="48">
        <f t="shared" si="2"/>
        <v>4.58</v>
      </c>
      <c r="AQ4" s="48">
        <f t="shared" si="2"/>
        <v>7.37</v>
      </c>
      <c r="AR4" s="48">
        <f t="shared" si="2"/>
        <v>11</v>
      </c>
      <c r="AS4" s="48">
        <f t="shared" si="2"/>
        <v>13.33</v>
      </c>
      <c r="AT4" s="47"/>
      <c r="AU4" s="47"/>
      <c r="AV4" s="47"/>
      <c r="AW4" s="47"/>
      <c r="AX4" s="47"/>
      <c r="AY4" s="47"/>
      <c r="AZ4" s="47"/>
      <c r="BA4" s="47"/>
      <c r="BB4" s="47"/>
      <c r="BC4" s="47"/>
      <c r="BD4" s="47"/>
      <c r="BE4" s="47"/>
    </row>
    <row r="5" spans="1:57" x14ac:dyDescent="0.25">
      <c r="A5" s="84" t="s">
        <v>153</v>
      </c>
      <c r="B5" s="8" t="s">
        <v>4</v>
      </c>
      <c r="C5" s="90">
        <v>3</v>
      </c>
      <c r="G5" s="5"/>
      <c r="H5" s="5"/>
      <c r="AG5" s="1" t="s">
        <v>45</v>
      </c>
      <c r="AH5" s="46"/>
      <c r="AI5" s="46"/>
      <c r="AJ5" s="46"/>
      <c r="AK5" s="46"/>
      <c r="AL5" s="46"/>
      <c r="AM5" s="46"/>
      <c r="AN5" s="46"/>
      <c r="AO5" s="46"/>
      <c r="AP5" s="46"/>
      <c r="AQ5" s="46"/>
      <c r="AR5" s="46"/>
      <c r="AS5" s="46"/>
      <c r="AT5" s="46"/>
      <c r="AU5" s="46"/>
      <c r="AV5" s="46"/>
      <c r="AW5" s="46"/>
      <c r="AX5" s="46"/>
      <c r="AY5" s="46"/>
      <c r="AZ5" s="46"/>
      <c r="BA5" s="46"/>
      <c r="BB5" s="46"/>
      <c r="BC5" s="46"/>
      <c r="BD5" s="46"/>
      <c r="BE5" s="46"/>
    </row>
    <row r="6" spans="1:57" x14ac:dyDescent="0.25">
      <c r="A6" s="85" t="s">
        <v>157</v>
      </c>
      <c r="B6" s="3" t="s">
        <v>17</v>
      </c>
      <c r="G6" s="5"/>
      <c r="H6" s="5"/>
      <c r="AG6" s="2" t="s">
        <v>38</v>
      </c>
      <c r="AH6" s="47">
        <v>2.8</v>
      </c>
      <c r="AI6" s="47">
        <v>2.9</v>
      </c>
      <c r="AJ6" s="47">
        <v>3.1</v>
      </c>
      <c r="AK6" s="47">
        <v>3.2</v>
      </c>
      <c r="AL6" s="47">
        <v>4.8</v>
      </c>
      <c r="AM6" s="47">
        <v>8.1</v>
      </c>
      <c r="AN6" s="47">
        <v>7.4</v>
      </c>
      <c r="AO6" s="47">
        <v>6.4</v>
      </c>
      <c r="AP6" s="47">
        <v>5.5</v>
      </c>
      <c r="AQ6" s="47">
        <v>5.0999999999999996</v>
      </c>
      <c r="AR6" s="47">
        <v>4.5</v>
      </c>
      <c r="AS6" s="47">
        <v>4.5</v>
      </c>
      <c r="AT6" s="47">
        <v>4.2</v>
      </c>
      <c r="AU6" s="47">
        <v>4.0999999999999996</v>
      </c>
      <c r="AV6" s="47">
        <v>4.0999999999999996</v>
      </c>
      <c r="AW6" s="47">
        <v>3.9</v>
      </c>
      <c r="AX6" s="47">
        <v>3.5</v>
      </c>
      <c r="AY6" s="47">
        <v>3.7</v>
      </c>
      <c r="AZ6" s="47">
        <v>4.2</v>
      </c>
      <c r="BA6" s="47">
        <v>3.5</v>
      </c>
      <c r="BB6" s="47">
        <v>2.5</v>
      </c>
      <c r="BC6" s="47">
        <v>2.6</v>
      </c>
      <c r="BD6" s="47">
        <v>2.6</v>
      </c>
      <c r="BE6" s="47">
        <v>2.8</v>
      </c>
    </row>
    <row r="7" spans="1:57" x14ac:dyDescent="0.25">
      <c r="A7" s="85" t="s">
        <v>158</v>
      </c>
      <c r="B7" s="3" t="s">
        <v>18</v>
      </c>
      <c r="G7" s="5"/>
      <c r="H7" s="5"/>
      <c r="AG7" s="2" t="s">
        <v>39</v>
      </c>
      <c r="AH7" s="47">
        <v>17.382617382617383</v>
      </c>
      <c r="AI7" s="47">
        <v>17.582417582417587</v>
      </c>
      <c r="AJ7" s="47">
        <v>17.382617382617383</v>
      </c>
      <c r="AK7" s="47">
        <v>17.582417582417587</v>
      </c>
      <c r="AL7" s="47">
        <v>16.083916083916087</v>
      </c>
      <c r="AM7" s="47">
        <v>7.1928071928071935</v>
      </c>
      <c r="AN7" s="47">
        <v>6.7932067932067932</v>
      </c>
      <c r="AO7" s="47"/>
      <c r="AP7" s="47"/>
      <c r="AQ7" s="47"/>
      <c r="AR7" s="47"/>
      <c r="AS7" s="47"/>
      <c r="AT7" s="47"/>
      <c r="AU7" s="47"/>
      <c r="AV7" s="47"/>
      <c r="AW7" s="47"/>
      <c r="AX7" s="47"/>
      <c r="AY7" s="47"/>
      <c r="AZ7" s="47"/>
      <c r="BA7" s="47"/>
      <c r="BB7" s="47"/>
      <c r="BC7" s="47"/>
      <c r="BD7" s="47"/>
      <c r="BE7" s="47"/>
    </row>
    <row r="8" spans="1:57" x14ac:dyDescent="0.25">
      <c r="A8" s="85" t="s">
        <v>159</v>
      </c>
      <c r="B8" s="3" t="s">
        <v>19</v>
      </c>
      <c r="G8" s="5"/>
      <c r="H8" s="5"/>
      <c r="AG8" s="2" t="s">
        <v>40</v>
      </c>
      <c r="AH8" s="47">
        <v>15.184815184815184</v>
      </c>
      <c r="AI8" s="47">
        <v>13.786213786213786</v>
      </c>
      <c r="AJ8" s="47">
        <v>12.187812187812186</v>
      </c>
      <c r="AK8" s="47">
        <v>9.1908091908091887</v>
      </c>
      <c r="AL8" s="47">
        <v>5.2947052947052944</v>
      </c>
      <c r="AM8" s="47">
        <v>3.1968031968031965</v>
      </c>
      <c r="AN8" s="47">
        <v>2.0979020979020979</v>
      </c>
      <c r="AO8" s="47">
        <v>2.0979020979020979</v>
      </c>
      <c r="AP8" s="47">
        <v>3.796203796203796</v>
      </c>
      <c r="AQ8" s="47">
        <v>7.1928071928071926</v>
      </c>
      <c r="AR8" s="47">
        <v>11.588411588411587</v>
      </c>
      <c r="AS8" s="47">
        <v>14.385614385614385</v>
      </c>
      <c r="AT8" s="47"/>
      <c r="AU8" s="47"/>
      <c r="AV8" s="47"/>
      <c r="AW8" s="47"/>
      <c r="AX8" s="47"/>
      <c r="AY8" s="47"/>
      <c r="AZ8" s="47"/>
      <c r="BA8" s="47"/>
      <c r="BB8" s="47"/>
      <c r="BC8" s="47"/>
      <c r="BD8" s="47"/>
      <c r="BE8" s="47"/>
    </row>
    <row r="9" spans="1:57" x14ac:dyDescent="0.25">
      <c r="A9" s="85" t="s">
        <v>160</v>
      </c>
      <c r="B9" s="3" t="s">
        <v>330</v>
      </c>
      <c r="G9" s="5"/>
      <c r="H9" s="5"/>
      <c r="AG9" s="1" t="s">
        <v>44</v>
      </c>
      <c r="AH9" s="47"/>
      <c r="AI9" s="47"/>
      <c r="AJ9" s="47"/>
      <c r="AK9" s="47"/>
      <c r="AL9" s="47"/>
      <c r="AM9" s="47"/>
      <c r="AN9" s="47"/>
      <c r="AO9" s="47"/>
      <c r="AP9" s="47"/>
      <c r="AQ9" s="47"/>
      <c r="AR9" s="47"/>
      <c r="AS9" s="47"/>
      <c r="AT9" s="47"/>
      <c r="AU9" s="47"/>
      <c r="AV9" s="47"/>
      <c r="AW9" s="47"/>
      <c r="AX9" s="47"/>
      <c r="AY9" s="47"/>
      <c r="AZ9" s="47"/>
      <c r="BA9" s="47"/>
      <c r="BB9" s="47"/>
      <c r="BC9" s="47"/>
      <c r="BD9" s="47"/>
      <c r="BE9" s="47"/>
    </row>
    <row r="10" spans="1:57" x14ac:dyDescent="0.25">
      <c r="A10" s="85" t="s">
        <v>161</v>
      </c>
      <c r="B10" s="3" t="s">
        <v>20</v>
      </c>
      <c r="G10" s="5"/>
      <c r="H10" s="5"/>
      <c r="AG10" s="2" t="s">
        <v>38</v>
      </c>
      <c r="AH10" s="47">
        <v>3.3935742971887541</v>
      </c>
      <c r="AI10" s="47">
        <v>3.152610441767068</v>
      </c>
      <c r="AJ10" s="47">
        <v>3.1726907630522083</v>
      </c>
      <c r="AK10" s="47">
        <v>2.9618473895582325</v>
      </c>
      <c r="AL10" s="47">
        <v>3.2228915662650595</v>
      </c>
      <c r="AM10" s="47">
        <v>3.273092369477911</v>
      </c>
      <c r="AN10" s="47">
        <v>3.2530120481927707</v>
      </c>
      <c r="AO10" s="47">
        <v>3.4538152610441761</v>
      </c>
      <c r="AP10" s="47">
        <v>5.6726907630522083</v>
      </c>
      <c r="AQ10" s="47">
        <v>7.2690763052208824</v>
      </c>
      <c r="AR10" s="47">
        <v>6.4056224899598382</v>
      </c>
      <c r="AS10" s="47">
        <v>6.3955823293172678</v>
      </c>
      <c r="AT10" s="47">
        <v>5.9939759036144569</v>
      </c>
      <c r="AU10" s="47">
        <v>5.6325301204819267</v>
      </c>
      <c r="AV10" s="47">
        <v>5.140562248995983</v>
      </c>
      <c r="AW10" s="47">
        <v>4.5783132530120474</v>
      </c>
      <c r="AX10" s="47">
        <v>4.7489959839357425</v>
      </c>
      <c r="AY10" s="47">
        <v>5.0803212851405606</v>
      </c>
      <c r="AZ10" s="47">
        <v>4.3273092369477899</v>
      </c>
      <c r="BA10" s="47">
        <v>2.9016064257028109</v>
      </c>
      <c r="BB10" s="47">
        <v>2.449799196787148</v>
      </c>
      <c r="BC10" s="47">
        <v>2.4096385542168668</v>
      </c>
      <c r="BD10" s="47">
        <v>2.3895582329317264</v>
      </c>
      <c r="BE10" s="47">
        <v>2.7208835341365458</v>
      </c>
    </row>
    <row r="11" spans="1:57" x14ac:dyDescent="0.25">
      <c r="A11" s="85" t="s">
        <v>162</v>
      </c>
      <c r="B11" s="3" t="s">
        <v>21</v>
      </c>
      <c r="G11" s="5"/>
      <c r="H11" s="5"/>
      <c r="AG11" s="2" t="s">
        <v>39</v>
      </c>
      <c r="AH11" s="47">
        <v>18.18</v>
      </c>
      <c r="AI11" s="47">
        <v>16.23</v>
      </c>
      <c r="AJ11" s="47">
        <v>15.09</v>
      </c>
      <c r="AK11" s="47">
        <v>15.31</v>
      </c>
      <c r="AL11" s="47">
        <v>15.08</v>
      </c>
      <c r="AM11" s="47">
        <v>13.4</v>
      </c>
      <c r="AN11" s="47">
        <v>6.71</v>
      </c>
      <c r="AO11" s="47"/>
      <c r="AP11" s="47"/>
      <c r="AQ11" s="47"/>
      <c r="AR11" s="47"/>
      <c r="AS11" s="47"/>
      <c r="AT11" s="47"/>
      <c r="AU11" s="47"/>
      <c r="AV11" s="47"/>
      <c r="AW11" s="47"/>
      <c r="AX11" s="47"/>
      <c r="AY11" s="47"/>
      <c r="AZ11" s="47"/>
      <c r="BA11" s="47"/>
      <c r="BB11" s="47"/>
      <c r="BC11" s="47"/>
      <c r="BD11" s="47"/>
      <c r="BE11" s="47"/>
    </row>
    <row r="12" spans="1:57" x14ac:dyDescent="0.25">
      <c r="A12" s="85"/>
      <c r="B12" s="3" t="s">
        <v>272</v>
      </c>
      <c r="G12" s="5"/>
      <c r="H12" s="5"/>
      <c r="AG12" s="2" t="s">
        <v>40</v>
      </c>
      <c r="AH12" s="47">
        <v>15.33</v>
      </c>
      <c r="AI12" s="47">
        <v>13.86</v>
      </c>
      <c r="AJ12" s="47">
        <v>12.21</v>
      </c>
      <c r="AK12" s="47">
        <v>9.19</v>
      </c>
      <c r="AL12" s="47">
        <v>5.27</v>
      </c>
      <c r="AM12" s="47">
        <v>3.15</v>
      </c>
      <c r="AN12" s="47">
        <v>2.0099999999999998</v>
      </c>
      <c r="AO12" s="47">
        <v>1.98</v>
      </c>
      <c r="AP12" s="47">
        <v>3.69</v>
      </c>
      <c r="AQ12" s="47">
        <v>7.14</v>
      </c>
      <c r="AR12" s="47">
        <v>11.64</v>
      </c>
      <c r="AS12" s="47">
        <v>14.53</v>
      </c>
      <c r="AT12" s="47"/>
      <c r="AU12" s="47"/>
      <c r="AV12" s="47"/>
      <c r="AW12" s="47"/>
      <c r="AX12" s="47"/>
      <c r="AY12" s="47"/>
      <c r="AZ12" s="47"/>
      <c r="BA12" s="47"/>
      <c r="BB12" s="47"/>
      <c r="BC12" s="47"/>
      <c r="BD12" s="47"/>
      <c r="BE12" s="47"/>
    </row>
    <row r="13" spans="1:57" x14ac:dyDescent="0.25">
      <c r="A13" s="85"/>
      <c r="C13" s="3" t="s">
        <v>14</v>
      </c>
      <c r="D13" s="3" t="s">
        <v>15</v>
      </c>
      <c r="E13" s="5"/>
      <c r="F13" s="5"/>
      <c r="G13" s="3" t="s">
        <v>16</v>
      </c>
      <c r="AG13" s="1" t="s">
        <v>43</v>
      </c>
      <c r="AH13" s="47"/>
      <c r="AI13" s="47"/>
      <c r="AJ13" s="47"/>
      <c r="AK13" s="47"/>
      <c r="AL13" s="47"/>
      <c r="AM13" s="47"/>
      <c r="AN13" s="47"/>
      <c r="AO13" s="47"/>
      <c r="AP13" s="47"/>
      <c r="AQ13" s="47"/>
      <c r="AR13" s="47"/>
      <c r="AS13" s="47"/>
      <c r="AT13" s="47"/>
      <c r="AU13" s="47"/>
      <c r="AV13" s="47"/>
      <c r="AW13" s="47"/>
      <c r="AX13" s="47"/>
      <c r="AY13" s="47"/>
      <c r="AZ13" s="47"/>
      <c r="BA13" s="47"/>
      <c r="BB13" s="47"/>
      <c r="BC13" s="47"/>
      <c r="BD13" s="47"/>
      <c r="BE13" s="47"/>
    </row>
    <row r="14" spans="1:57" x14ac:dyDescent="0.25">
      <c r="A14" s="86" t="s">
        <v>5</v>
      </c>
      <c r="B14" s="4" t="s">
        <v>5</v>
      </c>
      <c r="C14" s="3" t="s">
        <v>230</v>
      </c>
      <c r="D14" s="3" t="s">
        <v>230</v>
      </c>
      <c r="E14" s="3" t="s">
        <v>231</v>
      </c>
      <c r="F14" s="3" t="s">
        <v>232</v>
      </c>
      <c r="AG14" s="2" t="s">
        <v>38</v>
      </c>
      <c r="AH14" s="47">
        <v>3.4</v>
      </c>
      <c r="AI14" s="47">
        <v>3.47</v>
      </c>
      <c r="AJ14" s="47">
        <v>3.43</v>
      </c>
      <c r="AK14" s="47">
        <v>3.5</v>
      </c>
      <c r="AL14" s="47">
        <v>3.67</v>
      </c>
      <c r="AM14" s="47">
        <v>3.94</v>
      </c>
      <c r="AN14" s="47">
        <v>4.2300000000000004</v>
      </c>
      <c r="AO14" s="47">
        <v>4.7300000000000004</v>
      </c>
      <c r="AP14" s="47">
        <v>4.7</v>
      </c>
      <c r="AQ14" s="47">
        <v>4.7</v>
      </c>
      <c r="AR14" s="47">
        <v>4.7</v>
      </c>
      <c r="AS14" s="47">
        <v>4.6100000000000003</v>
      </c>
      <c r="AT14" s="47">
        <v>4.4800000000000004</v>
      </c>
      <c r="AU14" s="47">
        <v>4.38</v>
      </c>
      <c r="AV14" s="47">
        <v>4.37</v>
      </c>
      <c r="AW14" s="47">
        <v>4.42</v>
      </c>
      <c r="AX14" s="47">
        <v>4.37</v>
      </c>
      <c r="AY14" s="47">
        <v>4.45</v>
      </c>
      <c r="AZ14" s="47">
        <v>4.71</v>
      </c>
      <c r="BA14" s="47">
        <v>4.4800000000000004</v>
      </c>
      <c r="BB14" s="47">
        <v>4.24</v>
      </c>
      <c r="BC14" s="47">
        <v>4.25</v>
      </c>
      <c r="BD14" s="47">
        <v>3.41</v>
      </c>
      <c r="BE14" s="47">
        <v>3.36</v>
      </c>
    </row>
    <row r="15" spans="1:57" x14ac:dyDescent="0.25">
      <c r="A15" s="86" t="s">
        <v>6</v>
      </c>
      <c r="B15" s="4" t="s">
        <v>6</v>
      </c>
      <c r="C15" s="100">
        <v>1631.0717206213906</v>
      </c>
      <c r="D15" s="100">
        <v>3106</v>
      </c>
      <c r="E15" s="100">
        <v>4022.499999999663</v>
      </c>
      <c r="F15" s="100">
        <v>4560.0000000002847</v>
      </c>
      <c r="G15" s="112">
        <v>20.497732136072827</v>
      </c>
      <c r="H15" s="3" t="s">
        <v>12</v>
      </c>
      <c r="AG15" s="2" t="s">
        <v>39</v>
      </c>
      <c r="AH15" s="47">
        <v>14.4</v>
      </c>
      <c r="AI15" s="47">
        <v>15.1</v>
      </c>
      <c r="AJ15" s="47">
        <v>14.86</v>
      </c>
      <c r="AK15" s="47">
        <v>14.93</v>
      </c>
      <c r="AL15" s="47">
        <v>14.72</v>
      </c>
      <c r="AM15" s="47">
        <v>13.28</v>
      </c>
      <c r="AN15" s="47">
        <v>12.71</v>
      </c>
      <c r="AO15" s="47"/>
      <c r="AP15" s="47"/>
      <c r="AQ15" s="47"/>
      <c r="AR15" s="47"/>
      <c r="AS15" s="47"/>
      <c r="AT15" s="47"/>
      <c r="AU15" s="47"/>
      <c r="AV15" s="47"/>
      <c r="AW15" s="47"/>
      <c r="AX15" s="47"/>
      <c r="AY15" s="47"/>
      <c r="AZ15" s="47"/>
      <c r="BA15" s="47"/>
      <c r="BB15" s="47"/>
      <c r="BC15" s="47"/>
      <c r="BD15" s="47"/>
      <c r="BE15" s="47"/>
    </row>
    <row r="16" spans="1:57" x14ac:dyDescent="0.25">
      <c r="A16" s="86" t="s">
        <v>7</v>
      </c>
      <c r="B16" s="4" t="s">
        <v>7</v>
      </c>
      <c r="C16" s="100">
        <v>1850.3001941813529</v>
      </c>
      <c r="D16" s="100">
        <v>3361.9999999999936</v>
      </c>
      <c r="E16" s="100">
        <v>4271.0000000003492</v>
      </c>
      <c r="F16" s="100">
        <v>4733.9999999996817</v>
      </c>
      <c r="G16" s="112">
        <v>22.456056292452459</v>
      </c>
      <c r="H16" s="3" t="s">
        <v>12</v>
      </c>
      <c r="AG16" s="2" t="s">
        <v>40</v>
      </c>
      <c r="AH16" s="47">
        <v>13.98</v>
      </c>
      <c r="AI16" s="47">
        <v>12.79</v>
      </c>
      <c r="AJ16" s="47">
        <v>11.46</v>
      </c>
      <c r="AK16" s="47">
        <v>9.0299999999999994</v>
      </c>
      <c r="AL16" s="47">
        <v>5.86</v>
      </c>
      <c r="AM16" s="47">
        <v>4.1500000000000004</v>
      </c>
      <c r="AN16" s="47">
        <v>3.23</v>
      </c>
      <c r="AO16" s="47">
        <v>3.2</v>
      </c>
      <c r="AP16" s="47">
        <v>4.58</v>
      </c>
      <c r="AQ16" s="47">
        <v>7.37</v>
      </c>
      <c r="AR16" s="47">
        <v>11</v>
      </c>
      <c r="AS16" s="47">
        <v>13.33</v>
      </c>
      <c r="AT16" s="47"/>
      <c r="AU16" s="47"/>
      <c r="AV16" s="47"/>
      <c r="AW16" s="47"/>
      <c r="AX16" s="47"/>
      <c r="AY16" s="47"/>
      <c r="AZ16" s="47"/>
      <c r="BA16" s="47"/>
      <c r="BB16" s="47"/>
      <c r="BC16" s="47"/>
      <c r="BD16" s="47"/>
      <c r="BE16" s="47"/>
    </row>
    <row r="17" spans="1:57" x14ac:dyDescent="0.25">
      <c r="A17" s="86" t="s">
        <v>8</v>
      </c>
      <c r="B17" s="4" t="s">
        <v>8</v>
      </c>
      <c r="C17" s="100">
        <v>3687.2790967878404</v>
      </c>
      <c r="D17" s="100">
        <v>4290.00000000001</v>
      </c>
      <c r="E17" s="100">
        <v>5230.0000000009495</v>
      </c>
      <c r="F17" s="100">
        <v>5793.9999999997472</v>
      </c>
      <c r="G17" s="112">
        <v>40.069873416770456</v>
      </c>
      <c r="H17" s="3" t="s">
        <v>12</v>
      </c>
      <c r="AG17" s="1" t="s">
        <v>42</v>
      </c>
      <c r="AH17" s="47"/>
      <c r="AI17" s="47"/>
      <c r="AJ17" s="47"/>
      <c r="AK17" s="47"/>
      <c r="AL17" s="47"/>
      <c r="AM17" s="47"/>
      <c r="AN17" s="47"/>
      <c r="AO17" s="47"/>
      <c r="AP17" s="47"/>
      <c r="AQ17" s="47"/>
      <c r="AR17" s="47"/>
      <c r="AS17" s="47"/>
      <c r="AT17" s="47"/>
      <c r="AU17" s="47"/>
      <c r="AV17" s="47"/>
      <c r="AW17" s="47"/>
      <c r="AX17" s="47"/>
      <c r="AY17" s="47"/>
      <c r="AZ17" s="47"/>
      <c r="BA17" s="47"/>
      <c r="BB17" s="47"/>
      <c r="BC17" s="47"/>
      <c r="BD17" s="47"/>
      <c r="BE17" s="47"/>
    </row>
    <row r="18" spans="1:57" x14ac:dyDescent="0.25">
      <c r="A18" s="86" t="s">
        <v>9</v>
      </c>
      <c r="B18" s="4" t="s">
        <v>9</v>
      </c>
      <c r="C18" s="100">
        <v>2620.8702073468207</v>
      </c>
      <c r="D18" s="100">
        <v>4469.0000000000227</v>
      </c>
      <c r="E18" s="100">
        <v>5667.0000000011014</v>
      </c>
      <c r="F18" s="100">
        <v>6328.9999999996671</v>
      </c>
      <c r="G18" s="112">
        <v>26.501604463013628</v>
      </c>
      <c r="H18" s="3" t="s">
        <v>12</v>
      </c>
      <c r="AG18" s="2" t="s">
        <v>38</v>
      </c>
      <c r="AH18" s="47">
        <v>3.39</v>
      </c>
      <c r="AI18" s="47">
        <v>3.47</v>
      </c>
      <c r="AJ18" s="47">
        <v>3.62</v>
      </c>
      <c r="AK18" s="47">
        <v>3.8</v>
      </c>
      <c r="AL18" s="47">
        <v>4.67</v>
      </c>
      <c r="AM18" s="47">
        <v>6.51</v>
      </c>
      <c r="AN18" s="47">
        <v>6.13</v>
      </c>
      <c r="AO18" s="47">
        <v>5.63</v>
      </c>
      <c r="AP18" s="47">
        <v>5.23</v>
      </c>
      <c r="AQ18" s="47">
        <v>4.88</v>
      </c>
      <c r="AR18" s="47">
        <v>4.45</v>
      </c>
      <c r="AS18" s="47">
        <v>4.29</v>
      </c>
      <c r="AT18" s="47">
        <v>4.1100000000000003</v>
      </c>
      <c r="AU18" s="47">
        <v>3.98</v>
      </c>
      <c r="AV18" s="47">
        <v>3.98</v>
      </c>
      <c r="AW18" s="47">
        <v>3.89</v>
      </c>
      <c r="AX18" s="47">
        <v>3.63</v>
      </c>
      <c r="AY18" s="47">
        <v>3.76</v>
      </c>
      <c r="AZ18" s="47">
        <v>4.04</v>
      </c>
      <c r="BA18" s="47">
        <v>3.63</v>
      </c>
      <c r="BB18" s="47">
        <v>3.12</v>
      </c>
      <c r="BC18" s="47">
        <v>3.21</v>
      </c>
      <c r="BD18" s="47">
        <v>3.23</v>
      </c>
      <c r="BE18" s="47">
        <v>3.35</v>
      </c>
    </row>
    <row r="19" spans="1:57" x14ac:dyDescent="0.25">
      <c r="A19" s="86" t="s">
        <v>10</v>
      </c>
      <c r="B19" s="4" t="s">
        <v>10</v>
      </c>
      <c r="C19" s="100">
        <v>2506.6510148307329</v>
      </c>
      <c r="D19" s="100">
        <v>2614.9999999999773</v>
      </c>
      <c r="E19" s="100">
        <v>3125.9999999999714</v>
      </c>
      <c r="F19" s="100">
        <v>3336.9999999999704</v>
      </c>
      <c r="G19" s="112">
        <v>48.666038352974532</v>
      </c>
      <c r="H19" s="3" t="s">
        <v>12</v>
      </c>
      <c r="AG19" s="2" t="s">
        <v>39</v>
      </c>
      <c r="AH19" s="47">
        <v>16.940000000000001</v>
      </c>
      <c r="AI19" s="47">
        <v>16.38</v>
      </c>
      <c r="AJ19" s="47">
        <v>14.96</v>
      </c>
      <c r="AK19" s="47">
        <v>14.76</v>
      </c>
      <c r="AL19" s="47">
        <v>14.84</v>
      </c>
      <c r="AM19" s="47">
        <v>10.93</v>
      </c>
      <c r="AN19" s="47">
        <v>11.19</v>
      </c>
      <c r="AO19" s="47"/>
      <c r="AP19" s="47"/>
      <c r="AQ19" s="47"/>
      <c r="AR19" s="47"/>
      <c r="AS19" s="47"/>
      <c r="AT19" s="47"/>
      <c r="AU19" s="47"/>
      <c r="AV19" s="47"/>
      <c r="AW19" s="47"/>
      <c r="AX19" s="47"/>
      <c r="AY19" s="47"/>
      <c r="AZ19" s="47"/>
      <c r="BA19" s="47"/>
      <c r="BB19" s="47"/>
      <c r="BC19" s="47"/>
      <c r="BD19" s="47"/>
      <c r="BE19" s="47"/>
    </row>
    <row r="20" spans="1:57" x14ac:dyDescent="0.25">
      <c r="A20" s="86" t="s">
        <v>11</v>
      </c>
      <c r="B20" s="4" t="s">
        <v>11</v>
      </c>
      <c r="C20" s="100">
        <v>2862.607381165788</v>
      </c>
      <c r="D20" s="100">
        <v>3958.999999999603</v>
      </c>
      <c r="E20" s="100">
        <v>4759.5000000005239</v>
      </c>
      <c r="F20" s="100">
        <v>5178.9999999994043</v>
      </c>
      <c r="G20" s="112">
        <v>31.391038600823112</v>
      </c>
      <c r="H20" s="3" t="s">
        <v>12</v>
      </c>
      <c r="AG20" s="2" t="s">
        <v>40</v>
      </c>
      <c r="AH20" s="47">
        <v>13.53</v>
      </c>
      <c r="AI20" s="47">
        <v>12.43</v>
      </c>
      <c r="AJ20" s="47">
        <v>11.21</v>
      </c>
      <c r="AK20" s="47">
        <v>8.9700000000000006</v>
      </c>
      <c r="AL20" s="47">
        <v>6.06</v>
      </c>
      <c r="AM20" s="47">
        <v>4.49</v>
      </c>
      <c r="AN20" s="47">
        <v>3.64</v>
      </c>
      <c r="AO20" s="47">
        <v>3.62</v>
      </c>
      <c r="AP20" s="47">
        <v>4.8899999999999997</v>
      </c>
      <c r="AQ20" s="47">
        <v>7.45</v>
      </c>
      <c r="AR20" s="47">
        <v>10.78</v>
      </c>
      <c r="AS20" s="47">
        <v>12.93</v>
      </c>
      <c r="AT20" s="47"/>
      <c r="AU20" s="47"/>
      <c r="AV20" s="47"/>
      <c r="AW20" s="47"/>
      <c r="AX20" s="47"/>
      <c r="AY20" s="47"/>
      <c r="AZ20" s="47"/>
      <c r="BA20" s="47"/>
      <c r="BB20" s="47"/>
      <c r="BC20" s="47"/>
      <c r="BD20" s="47"/>
      <c r="BE20" s="47"/>
    </row>
    <row r="21" spans="1:57" x14ac:dyDescent="0.25">
      <c r="A21" s="86"/>
      <c r="B21" s="4" t="s">
        <v>273</v>
      </c>
      <c r="C21" s="100">
        <v>2388.2039413031252</v>
      </c>
      <c r="D21" s="100">
        <v>4258.0000000001437</v>
      </c>
      <c r="E21" s="100">
        <v>5543.0000000009804</v>
      </c>
      <c r="F21" s="100">
        <v>6278.0000000006821</v>
      </c>
      <c r="G21" s="112">
        <v>23.614174329231552</v>
      </c>
      <c r="H21" s="3" t="s">
        <v>12</v>
      </c>
      <c r="AG21" s="1" t="s">
        <v>41</v>
      </c>
      <c r="AH21" s="47"/>
      <c r="AI21" s="47"/>
      <c r="AJ21" s="47"/>
      <c r="AK21" s="47"/>
      <c r="AL21" s="47"/>
      <c r="AM21" s="47"/>
      <c r="AN21" s="47"/>
      <c r="AO21" s="47"/>
      <c r="AP21" s="47"/>
      <c r="AQ21" s="47"/>
      <c r="AR21" s="47"/>
      <c r="AS21" s="47"/>
      <c r="AT21" s="47"/>
      <c r="AU21" s="47"/>
      <c r="AV21" s="47"/>
      <c r="AW21" s="47"/>
      <c r="AX21" s="47"/>
      <c r="AY21" s="47"/>
      <c r="AZ21" s="47"/>
      <c r="BA21" s="47"/>
      <c r="BB21" s="47"/>
      <c r="BC21" s="47"/>
      <c r="BD21" s="47"/>
      <c r="BE21" s="47"/>
    </row>
    <row r="22" spans="1:57" x14ac:dyDescent="0.25">
      <c r="A22" s="85"/>
      <c r="C22" s="100"/>
      <c r="D22" s="100"/>
      <c r="E22" s="100"/>
      <c r="F22" s="100"/>
      <c r="G22" s="112"/>
      <c r="AG22" s="2" t="s">
        <v>38</v>
      </c>
      <c r="AH22" s="47">
        <v>0.97437396472766236</v>
      </c>
      <c r="AI22" s="47">
        <v>0.97437396472766236</v>
      </c>
      <c r="AJ22" s="47">
        <v>0.97437396472766236</v>
      </c>
      <c r="AK22" s="47">
        <v>0.97437396472766236</v>
      </c>
      <c r="AL22" s="47">
        <v>3.8974958589106494</v>
      </c>
      <c r="AM22" s="47">
        <v>8.3796160966578963</v>
      </c>
      <c r="AN22" s="47">
        <v>8.0873039072395976</v>
      </c>
      <c r="AO22" s="47">
        <v>7.8924291142940648</v>
      </c>
      <c r="AP22" s="47">
        <v>7.7949917178212988</v>
      </c>
      <c r="AQ22" s="47">
        <v>7.5026795284030001</v>
      </c>
      <c r="AR22" s="47">
        <v>7.4052421319302333</v>
      </c>
      <c r="AS22" s="47">
        <v>7.3078047354574673</v>
      </c>
      <c r="AT22" s="47">
        <v>7.2103673389847014</v>
      </c>
      <c r="AU22" s="47">
        <v>7.0154925460391695</v>
      </c>
      <c r="AV22" s="47">
        <v>6.7231803566208708</v>
      </c>
      <c r="AW22" s="47">
        <v>6.528305563675338</v>
      </c>
      <c r="AX22" s="47">
        <v>3.5369774919614141</v>
      </c>
      <c r="AY22" s="47">
        <v>0.97437396472766236</v>
      </c>
      <c r="AZ22" s="47">
        <v>0.97437396472766236</v>
      </c>
      <c r="BA22" s="47">
        <v>0.97437396472766236</v>
      </c>
      <c r="BB22" s="47">
        <v>0.97437396472766236</v>
      </c>
      <c r="BC22" s="47">
        <v>0.97437396472766236</v>
      </c>
      <c r="BD22" s="47">
        <v>0.97437396472766236</v>
      </c>
      <c r="BE22" s="47">
        <v>0.97437396472766236</v>
      </c>
    </row>
    <row r="23" spans="1:57" x14ac:dyDescent="0.25">
      <c r="A23" s="84" t="s">
        <v>163</v>
      </c>
      <c r="B23" s="8" t="s">
        <v>174</v>
      </c>
      <c r="C23" s="90">
        <v>1</v>
      </c>
      <c r="I23" s="4"/>
      <c r="AG23" s="2" t="s">
        <v>39</v>
      </c>
      <c r="AH23" s="47">
        <v>18.481518481518481</v>
      </c>
      <c r="AI23" s="47">
        <v>18.481518481518481</v>
      </c>
      <c r="AJ23" s="47">
        <v>18.481518481518481</v>
      </c>
      <c r="AK23" s="47">
        <v>18.481518481518481</v>
      </c>
      <c r="AL23" s="47">
        <v>18.481518481518481</v>
      </c>
      <c r="AM23" s="47">
        <v>3.7962037962037964</v>
      </c>
      <c r="AN23" s="47">
        <v>3.7962037962037964</v>
      </c>
      <c r="AO23" s="47"/>
      <c r="AP23" s="47"/>
      <c r="AQ23" s="47"/>
      <c r="AR23" s="47"/>
      <c r="AS23" s="47"/>
      <c r="AT23" s="47"/>
      <c r="AU23" s="47"/>
      <c r="AV23" s="47"/>
      <c r="AW23" s="47"/>
      <c r="AX23" s="47"/>
      <c r="AY23" s="47"/>
      <c r="AZ23" s="47"/>
      <c r="BA23" s="47"/>
      <c r="BB23" s="47"/>
      <c r="BC23" s="47"/>
      <c r="BD23" s="47"/>
      <c r="BE23" s="47"/>
    </row>
    <row r="24" spans="1:57" x14ac:dyDescent="0.25">
      <c r="A24" s="85" t="s">
        <v>164</v>
      </c>
      <c r="B24" s="3" t="str">
        <f>IF(C1=1," ","Connexion au gaz naturel")</f>
        <v xml:space="preserve"> </v>
      </c>
      <c r="I24" s="4"/>
      <c r="AG24" s="2" t="s">
        <v>40</v>
      </c>
      <c r="AH24" s="47">
        <v>9.4</v>
      </c>
      <c r="AI24" s="47">
        <v>9.1</v>
      </c>
      <c r="AJ24" s="47">
        <v>8.8000000000000007</v>
      </c>
      <c r="AK24" s="47">
        <v>9</v>
      </c>
      <c r="AL24" s="47">
        <v>8.1999999999999993</v>
      </c>
      <c r="AM24" s="47">
        <v>7.7</v>
      </c>
      <c r="AN24" s="47">
        <v>6.3</v>
      </c>
      <c r="AO24" s="47">
        <v>6.2</v>
      </c>
      <c r="AP24" s="47">
        <v>6.6</v>
      </c>
      <c r="AQ24" s="47">
        <v>8.6</v>
      </c>
      <c r="AR24" s="47">
        <v>9.6999999999999993</v>
      </c>
      <c r="AS24" s="47">
        <v>10.4</v>
      </c>
      <c r="AT24" s="47"/>
      <c r="AU24" s="47"/>
      <c r="AV24" s="47"/>
      <c r="AW24" s="47"/>
      <c r="AX24" s="47"/>
      <c r="AY24" s="47"/>
      <c r="AZ24" s="47"/>
      <c r="BA24" s="47"/>
      <c r="BB24" s="47"/>
      <c r="BC24" s="47"/>
      <c r="BD24" s="47"/>
      <c r="BE24" s="47"/>
    </row>
    <row r="25" spans="1:57" x14ac:dyDescent="0.25">
      <c r="A25" s="85" t="s">
        <v>165</v>
      </c>
      <c r="B25" s="3" t="str">
        <f>IF(C1=1,"","PAS de connexion au gaz naturel")</f>
        <v/>
      </c>
      <c r="AG25" s="1" t="s">
        <v>46</v>
      </c>
      <c r="AH25" s="47"/>
      <c r="AI25" s="47"/>
      <c r="AJ25" s="47"/>
      <c r="AK25" s="47"/>
      <c r="AL25" s="47"/>
      <c r="AM25" s="47"/>
      <c r="AN25" s="47"/>
      <c r="AO25" s="47"/>
      <c r="AP25" s="47"/>
      <c r="AQ25" s="47"/>
      <c r="AR25" s="47"/>
      <c r="AS25" s="47"/>
      <c r="AT25" s="47"/>
      <c r="AU25" s="47"/>
      <c r="AV25" s="47"/>
      <c r="AW25" s="47"/>
      <c r="AX25" s="47"/>
      <c r="AY25" s="47"/>
      <c r="AZ25" s="47"/>
      <c r="BA25" s="47"/>
      <c r="BB25" s="47"/>
      <c r="BC25" s="47"/>
      <c r="BD25" s="47"/>
      <c r="BE25" s="47"/>
    </row>
    <row r="26" spans="1:57" x14ac:dyDescent="0.25">
      <c r="A26" s="85"/>
      <c r="AG26" s="2" t="s">
        <v>38</v>
      </c>
      <c r="AH26" s="47">
        <v>2.1978021978021984</v>
      </c>
      <c r="AI26" s="47">
        <v>2.3976023976023977</v>
      </c>
      <c r="AJ26" s="47">
        <v>2.4975024975024978</v>
      </c>
      <c r="AK26" s="47">
        <v>2.7972027972027975</v>
      </c>
      <c r="AL26" s="47">
        <v>4.0959040959040962</v>
      </c>
      <c r="AM26" s="47">
        <v>4.8951048951048959</v>
      </c>
      <c r="AN26" s="47">
        <v>4.9950049950049955</v>
      </c>
      <c r="AO26" s="47">
        <v>4.9950049950049955</v>
      </c>
      <c r="AP26" s="47">
        <v>5.0949050949050951</v>
      </c>
      <c r="AQ26" s="47">
        <v>4.9950049950049955</v>
      </c>
      <c r="AR26" s="47">
        <v>4.7952047952047954</v>
      </c>
      <c r="AS26" s="47">
        <v>4.4955044955044965</v>
      </c>
      <c r="AT26" s="47">
        <v>4.3956043956043969</v>
      </c>
      <c r="AU26" s="47">
        <v>4.2957042957042963</v>
      </c>
      <c r="AV26" s="47">
        <v>4.1958041958041967</v>
      </c>
      <c r="AW26" s="47">
        <v>4.1958041958041967</v>
      </c>
      <c r="AX26" s="47">
        <v>4.2957042957042963</v>
      </c>
      <c r="AY26" s="47">
        <v>4.5954045954045961</v>
      </c>
      <c r="AZ26" s="47">
        <v>4.7952047952047954</v>
      </c>
      <c r="BA26" s="47">
        <v>4.7952047952047954</v>
      </c>
      <c r="BB26" s="47">
        <v>4.8951048951048959</v>
      </c>
      <c r="BC26" s="47">
        <v>4.7952047952047954</v>
      </c>
      <c r="BD26" s="47">
        <v>4.2957042957042963</v>
      </c>
      <c r="BE26" s="47">
        <v>2.1978021978021984</v>
      </c>
    </row>
    <row r="27" spans="1:57" x14ac:dyDescent="0.25">
      <c r="A27" s="84"/>
      <c r="B27" s="8"/>
      <c r="C27" s="90">
        <v>1</v>
      </c>
      <c r="D27" s="195" t="s">
        <v>205</v>
      </c>
      <c r="E27" s="195"/>
      <c r="F27" s="195" t="s">
        <v>204</v>
      </c>
      <c r="G27" s="195"/>
      <c r="H27" s="11"/>
      <c r="I27" s="195" t="s">
        <v>413</v>
      </c>
      <c r="J27" s="195"/>
      <c r="K27" s="195" t="s">
        <v>418</v>
      </c>
      <c r="L27" s="195"/>
      <c r="M27" s="195" t="s">
        <v>414</v>
      </c>
      <c r="N27" s="195"/>
      <c r="O27" s="195" t="s">
        <v>417</v>
      </c>
      <c r="P27" s="195"/>
      <c r="Q27" s="159" t="s">
        <v>49</v>
      </c>
      <c r="R27" s="159"/>
      <c r="S27" s="3" t="s">
        <v>152</v>
      </c>
      <c r="AG27" s="2" t="s">
        <v>39</v>
      </c>
      <c r="AH27" s="47">
        <v>13.5</v>
      </c>
      <c r="AI27" s="47">
        <v>13.5</v>
      </c>
      <c r="AJ27" s="47">
        <v>13.5</v>
      </c>
      <c r="AK27" s="47">
        <v>13.5</v>
      </c>
      <c r="AL27" s="47">
        <v>13.5</v>
      </c>
      <c r="AM27" s="47">
        <v>16.25</v>
      </c>
      <c r="AN27" s="47">
        <v>16.25</v>
      </c>
      <c r="AO27" s="47"/>
      <c r="AP27" s="47"/>
      <c r="AQ27" s="47"/>
      <c r="AR27" s="47"/>
      <c r="AS27" s="47"/>
      <c r="AT27" s="47"/>
      <c r="AU27" s="47"/>
      <c r="AV27" s="47"/>
      <c r="AW27" s="47"/>
      <c r="AX27" s="47"/>
      <c r="AY27" s="47"/>
      <c r="AZ27" s="47"/>
      <c r="BA27" s="47"/>
      <c r="BB27" s="47"/>
      <c r="BC27" s="47"/>
      <c r="BD27" s="47"/>
      <c r="BE27" s="47"/>
    </row>
    <row r="28" spans="1:57" x14ac:dyDescent="0.25">
      <c r="A28" s="85"/>
      <c r="C28" s="3" t="s">
        <v>50</v>
      </c>
      <c r="D28" s="11" t="s">
        <v>51</v>
      </c>
      <c r="E28" s="11" t="s">
        <v>52</v>
      </c>
      <c r="F28" s="11" t="s">
        <v>24</v>
      </c>
      <c r="G28" s="11" t="s">
        <v>25</v>
      </c>
      <c r="H28" s="11" t="s">
        <v>52</v>
      </c>
      <c r="I28" s="11" t="s">
        <v>24</v>
      </c>
      <c r="J28" s="11" t="s">
        <v>25</v>
      </c>
      <c r="K28" s="11" t="s">
        <v>24</v>
      </c>
      <c r="L28" s="11" t="s">
        <v>25</v>
      </c>
      <c r="M28" s="11" t="s">
        <v>24</v>
      </c>
      <c r="N28" s="11" t="s">
        <v>25</v>
      </c>
      <c r="O28" s="11" t="s">
        <v>24</v>
      </c>
      <c r="P28" s="11" t="s">
        <v>25</v>
      </c>
      <c r="Q28" s="11" t="s">
        <v>24</v>
      </c>
      <c r="R28" s="11" t="s">
        <v>25</v>
      </c>
      <c r="AG28" s="2" t="s">
        <v>40</v>
      </c>
      <c r="AH28" s="47">
        <v>15.71</v>
      </c>
      <c r="AI28" s="47">
        <v>14.15</v>
      </c>
      <c r="AJ28" s="47">
        <v>12.42</v>
      </c>
      <c r="AK28" s="47">
        <v>9.24</v>
      </c>
      <c r="AL28" s="47">
        <v>5.0999999999999996</v>
      </c>
      <c r="AM28" s="47">
        <v>2.87</v>
      </c>
      <c r="AN28" s="47">
        <v>1.67</v>
      </c>
      <c r="AO28" s="47">
        <v>1.64</v>
      </c>
      <c r="AP28" s="47">
        <v>3.44</v>
      </c>
      <c r="AQ28" s="47">
        <v>7.08</v>
      </c>
      <c r="AR28" s="47">
        <v>11.82</v>
      </c>
      <c r="AS28" s="47">
        <v>14.86</v>
      </c>
      <c r="AT28" s="47"/>
      <c r="AU28" s="47"/>
      <c r="AV28" s="47"/>
      <c r="AW28" s="47"/>
      <c r="AX28" s="47"/>
      <c r="AY28" s="47"/>
      <c r="AZ28" s="47"/>
      <c r="BA28" s="47"/>
      <c r="BB28" s="47"/>
      <c r="BC28" s="47"/>
      <c r="BD28" s="47"/>
      <c r="BE28" s="47"/>
    </row>
    <row r="29" spans="1:57" x14ac:dyDescent="0.25">
      <c r="A29" s="84" t="str">
        <f>INDEX(A30:A35,C27)</f>
        <v>Natural gas engines</v>
      </c>
      <c r="B29" s="8" t="str">
        <f>INDEX(B30:B35,C27)</f>
        <v>Moteurs au gaz naturel</v>
      </c>
      <c r="C29" s="8">
        <f>INDEX(C30:C35,C27)</f>
        <v>0.217</v>
      </c>
      <c r="D29" s="8">
        <f>INDEX(D30:D35,C27)</f>
        <v>5</v>
      </c>
      <c r="E29" s="8">
        <f>INDEX(E30:E35,C27)</f>
        <v>7189</v>
      </c>
      <c r="F29" s="8">
        <f>INDEX(F30:F35,C27)</f>
        <v>2.7494000000000001</v>
      </c>
      <c r="G29" s="8">
        <f>INDEX(G30:G35,C27)</f>
        <v>0.88400000000000001</v>
      </c>
      <c r="H29" s="83">
        <f>INDEX(H30:H35,C27)</f>
        <v>7342.9685625699785</v>
      </c>
      <c r="I29" s="8">
        <f>INDEX(I30:I35,C27)</f>
        <v>4865.6000000000004</v>
      </c>
      <c r="J29" s="8">
        <f>INDEX(J30:J35,C27)</f>
        <v>-0.30130000000000001</v>
      </c>
      <c r="K29" s="8">
        <f>INDEX(K30:K35,$C$27)</f>
        <v>9042.5</v>
      </c>
      <c r="L29" s="8">
        <f>INDEX(L30:L35,$C$27)</f>
        <v>-0.45300000000000001</v>
      </c>
      <c r="M29" s="8">
        <f>INDEX(M30:M35,C27)</f>
        <v>5.9316000000000004</v>
      </c>
      <c r="N29" s="8">
        <f>INDEX(N30:N35,C27)</f>
        <v>-0.25559999999999999</v>
      </c>
      <c r="O29" s="8">
        <f>INDEX(O30:O35,C27)</f>
        <v>6.2E-2</v>
      </c>
      <c r="P29" s="8">
        <f>INDEX(P30:P35,C27)</f>
        <v>-0.21099999999999999</v>
      </c>
      <c r="Q29" s="8">
        <f>INDEX(Q30:Q35,C27)</f>
        <v>0.25340000000000001</v>
      </c>
      <c r="R29" s="8">
        <f>INDEX(R30:R35,C27)</f>
        <v>6.0699999999999997E-2</v>
      </c>
      <c r="V29" s="3">
        <v>100</v>
      </c>
      <c r="AG29" s="1" t="s">
        <v>278</v>
      </c>
      <c r="AH29" s="47"/>
      <c r="AI29" s="47"/>
      <c r="AJ29" s="47"/>
      <c r="AK29" s="47"/>
      <c r="AL29" s="47"/>
      <c r="AM29" s="47"/>
      <c r="AN29" s="47"/>
      <c r="AO29" s="47"/>
      <c r="AP29" s="47"/>
      <c r="AQ29" s="47"/>
      <c r="AR29" s="47"/>
      <c r="AS29" s="47"/>
      <c r="AT29" s="47"/>
      <c r="AU29" s="47"/>
      <c r="AV29" s="47"/>
      <c r="AW29" s="47"/>
      <c r="AX29" s="47"/>
      <c r="AY29" s="47"/>
      <c r="AZ29" s="47"/>
      <c r="BA29" s="47"/>
      <c r="BB29" s="47"/>
      <c r="BC29" s="47"/>
      <c r="BD29" s="47"/>
      <c r="BE29" s="47"/>
    </row>
    <row r="30" spans="1:57" x14ac:dyDescent="0.25">
      <c r="A30" s="87" t="s">
        <v>166</v>
      </c>
      <c r="B30" s="12" t="s">
        <v>57</v>
      </c>
      <c r="C30" s="3">
        <f>IF($C$1=1,0.217,0.251)</f>
        <v>0.217</v>
      </c>
      <c r="D30" s="3">
        <v>5</v>
      </c>
      <c r="E30" s="12">
        <v>7189</v>
      </c>
      <c r="F30" s="74">
        <v>2.7494000000000001</v>
      </c>
      <c r="G30" s="74">
        <v>0.88400000000000001</v>
      </c>
      <c r="H30" s="96">
        <f t="shared" ref="H30:H35" si="3">(E30/F30)^(1/G30)</f>
        <v>7342.9685625699785</v>
      </c>
      <c r="I30" s="75">
        <v>4865.6000000000004</v>
      </c>
      <c r="J30" s="75">
        <v>-0.30130000000000001</v>
      </c>
      <c r="K30" s="75">
        <v>9042.5</v>
      </c>
      <c r="L30" s="75">
        <v>-0.45300000000000001</v>
      </c>
      <c r="M30" s="75">
        <v>5.9316000000000004</v>
      </c>
      <c r="N30" s="75">
        <v>-0.25559999999999999</v>
      </c>
      <c r="O30" s="75">
        <v>6.2E-2</v>
      </c>
      <c r="P30" s="75">
        <v>-0.21099999999999999</v>
      </c>
      <c r="Q30" s="75">
        <v>0.25340000000000001</v>
      </c>
      <c r="R30" s="75">
        <v>6.0699999999999997E-2</v>
      </c>
      <c r="S30" s="75" t="s">
        <v>202</v>
      </c>
      <c r="T30" s="12"/>
      <c r="U30" s="12" t="str">
        <f t="shared" ref="U30:U35" si="4">Q30&amp;" x "&amp;"Pélec"&amp;R30</f>
        <v>0,2534 x Pélec0,0607</v>
      </c>
      <c r="V30" s="94">
        <f t="shared" ref="V30:V35" si="5">Q30*$V$29^R30</f>
        <v>0.33512483298057566</v>
      </c>
      <c r="W30" s="95">
        <f t="shared" ref="W30:W35" si="6">Q30*F30</f>
        <v>0.69669796000000006</v>
      </c>
      <c r="X30" s="95">
        <f t="shared" ref="X30:X35" si="7">R30-1+G30</f>
        <v>-5.5300000000000016E-2</v>
      </c>
      <c r="Y30" s="93">
        <f t="shared" ref="Y30:Y35" si="8">W30*$V$29^X30</f>
        <v>0.54006314216464701</v>
      </c>
      <c r="Z30" s="3" t="str">
        <f t="shared" ref="Z30:Z35" si="9">ROUND(W30,5)&amp;" x Pélec"&amp;ROUND(X30,5)</f>
        <v>0,6967 x Pélec-0,0553</v>
      </c>
      <c r="AG30" s="2" t="s">
        <v>38</v>
      </c>
      <c r="AH30" s="47">
        <v>3.39</v>
      </c>
      <c r="AI30" s="47">
        <v>3.47</v>
      </c>
      <c r="AJ30" s="47">
        <v>3.62</v>
      </c>
      <c r="AK30" s="47">
        <v>3.8</v>
      </c>
      <c r="AL30" s="47">
        <v>4.67</v>
      </c>
      <c r="AM30" s="47">
        <v>6.51</v>
      </c>
      <c r="AN30" s="47">
        <v>6.13</v>
      </c>
      <c r="AO30" s="47">
        <v>5.63</v>
      </c>
      <c r="AP30" s="47">
        <v>5.23</v>
      </c>
      <c r="AQ30" s="47">
        <v>4.88</v>
      </c>
      <c r="AR30" s="47">
        <v>4.45</v>
      </c>
      <c r="AS30" s="47">
        <v>4.29</v>
      </c>
      <c r="AT30" s="47">
        <v>4.1100000000000003</v>
      </c>
      <c r="AU30" s="47">
        <v>3.98</v>
      </c>
      <c r="AV30" s="47">
        <v>3.98</v>
      </c>
      <c r="AW30" s="47">
        <v>3.89</v>
      </c>
      <c r="AX30" s="47">
        <v>3.63</v>
      </c>
      <c r="AY30" s="47">
        <v>3.76</v>
      </c>
      <c r="AZ30" s="47">
        <v>4.04</v>
      </c>
      <c r="BA30" s="47">
        <v>3.63</v>
      </c>
      <c r="BB30" s="47">
        <v>3.12</v>
      </c>
      <c r="BC30" s="47">
        <v>3.21</v>
      </c>
      <c r="BD30" s="47">
        <v>3.23</v>
      </c>
      <c r="BE30" s="47">
        <v>3.35</v>
      </c>
    </row>
    <row r="31" spans="1:57" x14ac:dyDescent="0.25">
      <c r="A31" s="85" t="s">
        <v>167</v>
      </c>
      <c r="B31" s="3" t="s">
        <v>26</v>
      </c>
      <c r="C31" s="3">
        <v>0.30599999999999999</v>
      </c>
      <c r="D31" s="3">
        <v>5</v>
      </c>
      <c r="E31" s="3">
        <v>5123</v>
      </c>
      <c r="F31" s="75">
        <v>2.2429999999999999</v>
      </c>
      <c r="G31" s="75">
        <v>0.89190000000000003</v>
      </c>
      <c r="H31" s="96">
        <f t="shared" si="3"/>
        <v>5831.4345202253417</v>
      </c>
      <c r="I31" s="75">
        <v>5326.5</v>
      </c>
      <c r="J31" s="75">
        <v>-0.36930000000000002</v>
      </c>
      <c r="K31" s="75">
        <v>9246.9</v>
      </c>
      <c r="L31" s="75">
        <v>-0.48199999999999998</v>
      </c>
      <c r="M31" s="75">
        <v>6.9749999999999996</v>
      </c>
      <c r="N31" s="75">
        <v>-0.31819999999999998</v>
      </c>
      <c r="O31" s="75">
        <v>0.17219999999999999</v>
      </c>
      <c r="P31" s="75">
        <v>-0.65400000000000003</v>
      </c>
      <c r="Q31" s="75">
        <v>0.27089999999999997</v>
      </c>
      <c r="R31" s="75">
        <v>6.0499999999999998E-2</v>
      </c>
      <c r="S31" s="75" t="s">
        <v>202</v>
      </c>
      <c r="U31" s="12" t="str">
        <f t="shared" si="4"/>
        <v>0,2709 x Pélec0,0605</v>
      </c>
      <c r="V31" s="94">
        <f t="shared" si="5"/>
        <v>0.35793898730114315</v>
      </c>
      <c r="W31" s="95">
        <f t="shared" si="6"/>
        <v>0.60762869999999991</v>
      </c>
      <c r="X31" s="95">
        <f t="shared" si="7"/>
        <v>-4.7599999999999976E-2</v>
      </c>
      <c r="Y31" s="93">
        <f t="shared" si="8"/>
        <v>0.48802073942708302</v>
      </c>
      <c r="Z31" s="3" t="str">
        <f t="shared" si="9"/>
        <v>0,60763 x Pélec-0,0476</v>
      </c>
      <c r="AG31" s="2" t="s">
        <v>39</v>
      </c>
      <c r="AH31" s="47">
        <v>16.940000000000001</v>
      </c>
      <c r="AI31" s="47">
        <v>16.38</v>
      </c>
      <c r="AJ31" s="47">
        <v>14.96</v>
      </c>
      <c r="AK31" s="47">
        <v>14.76</v>
      </c>
      <c r="AL31" s="47">
        <v>14.84</v>
      </c>
      <c r="AM31" s="47">
        <v>10.93</v>
      </c>
      <c r="AN31" s="47">
        <v>11.19</v>
      </c>
      <c r="AO31" s="47"/>
      <c r="AP31" s="47"/>
      <c r="AQ31" s="47"/>
      <c r="AR31" s="47"/>
      <c r="AS31" s="47"/>
      <c r="AT31" s="47"/>
      <c r="AU31" s="47"/>
      <c r="AV31" s="47"/>
      <c r="AW31" s="47"/>
      <c r="AX31" s="47"/>
      <c r="AY31" s="47"/>
      <c r="AZ31" s="47"/>
      <c r="BA31" s="47"/>
      <c r="BB31" s="47"/>
      <c r="BC31" s="47"/>
      <c r="BD31" s="47"/>
      <c r="BE31" s="47"/>
    </row>
    <row r="32" spans="1:57" x14ac:dyDescent="0.25">
      <c r="A32" s="85" t="s">
        <v>169</v>
      </c>
      <c r="B32" s="3" t="s">
        <v>53</v>
      </c>
      <c r="C32" s="3">
        <f>IF(C1=1,0.07,0.065)</f>
        <v>7.0000000000000007E-2</v>
      </c>
      <c r="D32" s="3">
        <v>8</v>
      </c>
      <c r="E32" s="11">
        <v>5123</v>
      </c>
      <c r="F32" s="97">
        <v>2.7780999999999998</v>
      </c>
      <c r="G32" s="97">
        <v>0.85270000000000001</v>
      </c>
      <c r="H32" s="96">
        <f t="shared" si="3"/>
        <v>6759.6519676349335</v>
      </c>
      <c r="I32" s="75">
        <v>4318.3999999999996</v>
      </c>
      <c r="J32" s="75">
        <v>-0.27460000000000001</v>
      </c>
      <c r="K32" s="75">
        <v>9200</v>
      </c>
      <c r="L32" s="75">
        <v>-0.44800000000000001</v>
      </c>
      <c r="M32" s="75">
        <v>18.126999999999999</v>
      </c>
      <c r="N32" s="75">
        <v>-0.3478</v>
      </c>
      <c r="O32" s="75">
        <v>0.1532</v>
      </c>
      <c r="P32" s="75">
        <v>-0.54900000000000004</v>
      </c>
      <c r="Q32" s="75">
        <v>0.26</v>
      </c>
      <c r="R32" s="75">
        <v>6.54E-2</v>
      </c>
      <c r="S32" s="75" t="s">
        <v>202</v>
      </c>
      <c r="U32" s="12" t="str">
        <f t="shared" si="4"/>
        <v>0,26 x Pélec0,0654</v>
      </c>
      <c r="V32" s="94">
        <f t="shared" si="5"/>
        <v>0.35137701407056543</v>
      </c>
      <c r="W32" s="95">
        <f t="shared" si="6"/>
        <v>0.722306</v>
      </c>
      <c r="X32" s="95">
        <f t="shared" si="7"/>
        <v>-8.1899999999999973E-2</v>
      </c>
      <c r="Y32" s="93">
        <f t="shared" si="8"/>
        <v>0.49536032823867138</v>
      </c>
      <c r="Z32" s="3" t="str">
        <f t="shared" si="9"/>
        <v>0,72231 x Pélec-0,0819</v>
      </c>
      <c r="AG32" s="2" t="s">
        <v>40</v>
      </c>
      <c r="AH32" s="47">
        <v>13.792260137892054</v>
      </c>
      <c r="AI32" s="47">
        <v>14.4797865566442</v>
      </c>
      <c r="AJ32" s="47">
        <v>13.049445662932383</v>
      </c>
      <c r="AK32" s="47">
        <v>8.877193015155223</v>
      </c>
      <c r="AL32" s="47">
        <v>6.4518353937940445</v>
      </c>
      <c r="AM32" s="47">
        <v>4.9124960697184132</v>
      </c>
      <c r="AN32" s="47">
        <v>3.6788428830619591</v>
      </c>
      <c r="AO32" s="47">
        <v>4.2794402295666334</v>
      </c>
      <c r="AP32" s="47">
        <v>4.1989590549339795</v>
      </c>
      <c r="AQ32" s="47">
        <v>5.5319317454964967</v>
      </c>
      <c r="AR32" s="47">
        <v>10.09840095716293</v>
      </c>
      <c r="AS32" s="47">
        <v>10.649408293641681</v>
      </c>
      <c r="AT32" s="47"/>
      <c r="AU32" s="47"/>
      <c r="AV32" s="47"/>
      <c r="AW32" s="47"/>
      <c r="AX32" s="47"/>
      <c r="AY32" s="47"/>
      <c r="AZ32" s="47"/>
      <c r="BA32" s="47"/>
      <c r="BB32" s="47"/>
      <c r="BC32" s="47"/>
      <c r="BD32" s="47"/>
      <c r="BE32" s="47"/>
    </row>
    <row r="33" spans="1:62" ht="13.95" customHeight="1" x14ac:dyDescent="0.25">
      <c r="A33" s="85" t="s">
        <v>170</v>
      </c>
      <c r="B33" s="3" t="s">
        <v>203</v>
      </c>
      <c r="C33" s="3">
        <v>0.08</v>
      </c>
      <c r="D33" s="3">
        <v>5</v>
      </c>
      <c r="E33" s="49">
        <v>5123</v>
      </c>
      <c r="F33" s="75">
        <f>F31</f>
        <v>2.2429999999999999</v>
      </c>
      <c r="G33" s="75">
        <f>G31</f>
        <v>0.89190000000000003</v>
      </c>
      <c r="H33" s="96">
        <f t="shared" si="3"/>
        <v>5831.4345202253417</v>
      </c>
      <c r="I33" s="98">
        <f>1.1*I31</f>
        <v>5859.1500000000005</v>
      </c>
      <c r="J33" s="75">
        <f>J31</f>
        <v>-0.36930000000000002</v>
      </c>
      <c r="K33" s="75">
        <v>9246.9</v>
      </c>
      <c r="L33" s="75">
        <v>-0.48199999999999998</v>
      </c>
      <c r="M33" s="75">
        <f>1.2*M31</f>
        <v>8.3699999999999992</v>
      </c>
      <c r="N33" s="75">
        <f>N31</f>
        <v>-0.31819999999999998</v>
      </c>
      <c r="O33" s="75">
        <v>0.17219999999999999</v>
      </c>
      <c r="P33" s="75">
        <v>-0.65400000000000003</v>
      </c>
      <c r="Q33" s="97">
        <f>0.95*Q31</f>
        <v>0.25735499999999994</v>
      </c>
      <c r="R33" s="75">
        <f>R31</f>
        <v>6.0499999999999998E-2</v>
      </c>
      <c r="S33" s="75" t="s">
        <v>202</v>
      </c>
      <c r="U33" s="12" t="str">
        <f t="shared" si="4"/>
        <v>0,257355 x Pélec0,0605</v>
      </c>
      <c r="V33" s="94">
        <f t="shared" si="5"/>
        <v>0.34004203793608595</v>
      </c>
      <c r="W33" s="95">
        <f t="shared" si="6"/>
        <v>0.5772472649999999</v>
      </c>
      <c r="X33" s="95">
        <f t="shared" si="7"/>
        <v>-4.7599999999999976E-2</v>
      </c>
      <c r="Y33" s="93">
        <f t="shared" si="8"/>
        <v>0.46361970245572881</v>
      </c>
      <c r="Z33" s="3" t="str">
        <f t="shared" si="9"/>
        <v>0,57725 x Pélec-0,0476</v>
      </c>
    </row>
    <row r="34" spans="1:62" x14ac:dyDescent="0.25">
      <c r="A34" s="85" t="s">
        <v>168</v>
      </c>
      <c r="B34" s="3" t="s">
        <v>55</v>
      </c>
      <c r="C34" s="3">
        <v>0.02</v>
      </c>
      <c r="D34" s="3">
        <v>29</v>
      </c>
      <c r="E34" s="11">
        <v>7189</v>
      </c>
      <c r="F34" s="75">
        <v>2.7887</v>
      </c>
      <c r="G34" s="75">
        <v>0.85940000000000005</v>
      </c>
      <c r="H34" s="96">
        <f t="shared" si="3"/>
        <v>9318.7678080639143</v>
      </c>
      <c r="I34" s="75">
        <v>22097</v>
      </c>
      <c r="J34" s="75">
        <v>-0.59109999999999996</v>
      </c>
      <c r="K34" s="75">
        <v>9042.5</v>
      </c>
      <c r="L34" s="75">
        <v>-0.45300000000000001</v>
      </c>
      <c r="M34" s="75">
        <v>38.942</v>
      </c>
      <c r="N34" s="75">
        <v>-0.54759999999999998</v>
      </c>
      <c r="O34" s="75">
        <v>0.38941999999999999</v>
      </c>
      <c r="P34" s="75">
        <v>-0.54759999999999998</v>
      </c>
      <c r="Q34" s="75">
        <v>0.25619999999999998</v>
      </c>
      <c r="R34" s="75">
        <v>6.08E-2</v>
      </c>
      <c r="S34" s="75" t="s">
        <v>202</v>
      </c>
      <c r="U34" s="12" t="str">
        <f t="shared" si="4"/>
        <v>0,2562 x Pélec0,0608</v>
      </c>
      <c r="V34" s="94">
        <f t="shared" si="5"/>
        <v>0.33898394174364571</v>
      </c>
      <c r="W34" s="95">
        <f t="shared" si="6"/>
        <v>0.71446493999999994</v>
      </c>
      <c r="X34" s="95">
        <f t="shared" si="7"/>
        <v>-7.9799999999999982E-2</v>
      </c>
      <c r="Y34" s="93">
        <f t="shared" si="8"/>
        <v>0.49474443981416444</v>
      </c>
      <c r="Z34" s="3" t="str">
        <f t="shared" si="9"/>
        <v>0,71446 x Pélec-0,0798</v>
      </c>
    </row>
    <row r="35" spans="1:62" x14ac:dyDescent="0.25">
      <c r="A35" s="85" t="s">
        <v>171</v>
      </c>
      <c r="B35" s="3" t="s">
        <v>54</v>
      </c>
      <c r="C35" s="3">
        <v>2.3E-2</v>
      </c>
      <c r="D35" s="3">
        <v>138</v>
      </c>
      <c r="E35" s="11">
        <v>11308</v>
      </c>
      <c r="F35" s="74">
        <v>3.4942000000000002</v>
      </c>
      <c r="G35" s="74">
        <v>0.92369999999999997</v>
      </c>
      <c r="H35" s="96">
        <f t="shared" si="3"/>
        <v>6309.2280653262324</v>
      </c>
      <c r="I35" s="74">
        <v>9502</v>
      </c>
      <c r="J35" s="74">
        <v>-0.15720000000000001</v>
      </c>
      <c r="K35" s="75" t="s">
        <v>415</v>
      </c>
      <c r="L35" s="75" t="s">
        <v>415</v>
      </c>
      <c r="M35" s="75">
        <v>6.5159899999999995</v>
      </c>
      <c r="N35" s="75">
        <v>-4.9500000000000002E-2</v>
      </c>
      <c r="O35" s="75" t="s">
        <v>416</v>
      </c>
      <c r="P35" s="75" t="s">
        <v>416</v>
      </c>
      <c r="Q35" s="74">
        <v>0.16980000000000001</v>
      </c>
      <c r="R35" s="74">
        <v>5.2699999999999997E-2</v>
      </c>
      <c r="S35" s="75" t="s">
        <v>202</v>
      </c>
      <c r="U35" s="12" t="str">
        <f t="shared" si="4"/>
        <v>0,1698 x Pélec0,0527</v>
      </c>
      <c r="V35" s="94">
        <f t="shared" si="5"/>
        <v>0.21644008006209822</v>
      </c>
      <c r="W35" s="95">
        <f t="shared" si="6"/>
        <v>0.59331516000000006</v>
      </c>
      <c r="X35" s="95">
        <f t="shared" si="7"/>
        <v>-2.3600000000000065E-2</v>
      </c>
      <c r="Y35" s="93">
        <f t="shared" si="8"/>
        <v>0.53221295922913314</v>
      </c>
      <c r="Z35" s="3" t="str">
        <f t="shared" si="9"/>
        <v>0,59332 x Pélec-0,0236</v>
      </c>
    </row>
    <row r="36" spans="1:62" x14ac:dyDescent="0.25">
      <c r="B36" s="9"/>
      <c r="C36" s="9"/>
      <c r="D36" s="9"/>
      <c r="E36" s="10"/>
      <c r="F36" s="10"/>
      <c r="G36" s="10"/>
      <c r="H36" s="10"/>
      <c r="I36" s="10"/>
      <c r="J36" s="10"/>
      <c r="K36" s="10"/>
      <c r="L36" s="10"/>
      <c r="M36" s="10"/>
      <c r="N36" s="10"/>
    </row>
    <row r="37" spans="1:62" x14ac:dyDescent="0.25">
      <c r="B37" s="80" t="s">
        <v>143</v>
      </c>
      <c r="C37" s="9"/>
      <c r="D37" s="9"/>
      <c r="E37" s="10"/>
      <c r="F37" s="10"/>
      <c r="G37" s="10"/>
      <c r="H37" s="10"/>
    </row>
    <row r="38" spans="1:62" x14ac:dyDescent="0.25">
      <c r="B38" s="9" t="s">
        <v>144</v>
      </c>
      <c r="C38" s="9">
        <v>0.45600000000000002</v>
      </c>
      <c r="D38" s="9"/>
      <c r="E38" s="10"/>
      <c r="F38" s="10"/>
      <c r="G38" s="10"/>
      <c r="H38" s="10"/>
    </row>
    <row r="39" spans="1:62" x14ac:dyDescent="0.25">
      <c r="B39" s="9" t="s">
        <v>145</v>
      </c>
      <c r="C39" s="9">
        <v>0.27900000000000003</v>
      </c>
      <c r="D39" s="9"/>
      <c r="E39" s="10"/>
      <c r="F39" s="10"/>
      <c r="G39" s="10"/>
      <c r="H39" s="10"/>
    </row>
    <row r="40" spans="1:62" x14ac:dyDescent="0.25">
      <c r="B40" s="9" t="s">
        <v>146</v>
      </c>
      <c r="C40" s="81">
        <v>0.34</v>
      </c>
      <c r="D40" s="9"/>
      <c r="E40" s="10"/>
      <c r="F40" s="10"/>
      <c r="G40" s="10"/>
      <c r="H40" s="10"/>
      <c r="I40" s="122" t="s">
        <v>411</v>
      </c>
      <c r="N40" s="122" t="s">
        <v>407</v>
      </c>
      <c r="AX40" s="8" t="s">
        <v>249</v>
      </c>
      <c r="AY40" s="3" t="s">
        <v>282</v>
      </c>
      <c r="AZ40" s="3" t="s">
        <v>283</v>
      </c>
      <c r="BA40" s="3" t="s">
        <v>284</v>
      </c>
      <c r="BB40" s="3" t="s">
        <v>285</v>
      </c>
      <c r="BC40" s="3" t="s">
        <v>286</v>
      </c>
      <c r="BD40" s="3" t="s">
        <v>287</v>
      </c>
      <c r="BE40" s="3" t="s">
        <v>288</v>
      </c>
      <c r="BF40" s="3" t="s">
        <v>289</v>
      </c>
      <c r="BG40" s="3" t="s">
        <v>290</v>
      </c>
      <c r="BH40" s="3" t="s">
        <v>291</v>
      </c>
      <c r="BI40" s="3" t="s">
        <v>292</v>
      </c>
      <c r="BJ40" s="3" t="s">
        <v>293</v>
      </c>
    </row>
    <row r="41" spans="1:62" x14ac:dyDescent="0.25">
      <c r="B41" s="9"/>
      <c r="C41" s="9"/>
      <c r="D41" s="8" t="s">
        <v>354</v>
      </c>
      <c r="E41" s="8"/>
      <c r="F41" s="8" t="s">
        <v>355</v>
      </c>
      <c r="G41" s="8"/>
      <c r="H41" s="80" t="s">
        <v>332</v>
      </c>
      <c r="I41" s="8" t="s">
        <v>412</v>
      </c>
      <c r="J41" s="8"/>
      <c r="K41" s="8" t="s">
        <v>410</v>
      </c>
      <c r="L41" s="8"/>
      <c r="M41" s="80" t="s">
        <v>332</v>
      </c>
      <c r="N41" s="8" t="s">
        <v>408</v>
      </c>
      <c r="O41" s="8"/>
      <c r="P41" s="8" t="s">
        <v>409</v>
      </c>
      <c r="Q41" s="8"/>
      <c r="R41" s="80" t="s">
        <v>332</v>
      </c>
      <c r="AX41" s="3" t="s">
        <v>179</v>
      </c>
      <c r="AY41" s="3">
        <f>INDEX($T$47:$AU$60,AY$43,($C$5*4)-3)*Français!$E$38</f>
        <v>59887.11159</v>
      </c>
      <c r="AZ41" s="3">
        <f>INDEX($T$47:$AU$60,AZ$43,($C$5*4)-3)*Français!$E$38</f>
        <v>54789.424694999994</v>
      </c>
      <c r="BA41" s="3">
        <f>INDEX($T$47:$AU$60,BA$43,($C$5*4)-3)*Français!$E$38</f>
        <v>49092.00993</v>
      </c>
      <c r="BB41" s="3">
        <f>INDEX($T$47:$AU$60,BB$43,($C$5*4)-3)*Français!$E$38</f>
        <v>38682.447614999997</v>
      </c>
      <c r="BC41" s="3">
        <f>INDEX($T$47:$AU$60,BC$43,($C$5*4)-3)*Français!$E$38</f>
        <v>25102.895130000001</v>
      </c>
      <c r="BD41" s="3">
        <f>INDEX($T$47:$AU$60,BD$43,($C$5*4)-3)*Français!$E$38</f>
        <v>17777.647574999999</v>
      </c>
      <c r="BE41" s="3">
        <f>INDEX($T$47:$AU$60,BE$43,($C$5*4)-3)*Français!$E$38</f>
        <v>13836.578715000001</v>
      </c>
      <c r="BF41" s="3">
        <f>INDEX($T$47:$AU$60,BF$43,($C$5*4)-3)*Français!$E$38</f>
        <v>13708.0656</v>
      </c>
      <c r="BG41" s="3">
        <f>INDEX($T$47:$AU$60,BG$43,($C$5*4)-3)*Français!$E$38</f>
        <v>19619.668890000001</v>
      </c>
      <c r="BH41" s="3">
        <f>INDEX($T$47:$AU$60,BH$43,($C$5*4)-3)*Français!$E$38</f>
        <v>31571.388585000001</v>
      </c>
      <c r="BI41" s="3">
        <f>INDEX($T$47:$AU$60,BI$43,($C$5*4)-3)*Français!$E$38</f>
        <v>47121.4755</v>
      </c>
      <c r="BJ41" s="3">
        <f>INDEX($T$47:$AU$60,BJ$43,($C$5*4)-3)*Français!$E$38</f>
        <v>57102.660765000001</v>
      </c>
    </row>
    <row r="42" spans="1:62" x14ac:dyDescent="0.25">
      <c r="B42" s="80" t="s">
        <v>356</v>
      </c>
      <c r="C42" s="80">
        <v>17</v>
      </c>
      <c r="D42" s="3" t="s">
        <v>218</v>
      </c>
      <c r="E42" s="4" t="s">
        <v>217</v>
      </c>
      <c r="F42" s="3" t="s">
        <v>218</v>
      </c>
      <c r="G42" s="4" t="s">
        <v>217</v>
      </c>
      <c r="H42" s="9"/>
      <c r="I42" s="3" t="s">
        <v>218</v>
      </c>
      <c r="J42" s="4" t="s">
        <v>217</v>
      </c>
      <c r="K42" s="3" t="s">
        <v>218</v>
      </c>
      <c r="L42" s="4" t="s">
        <v>217</v>
      </c>
      <c r="N42" s="3" t="s">
        <v>218</v>
      </c>
      <c r="O42" s="4" t="s">
        <v>217</v>
      </c>
      <c r="P42" s="3" t="s">
        <v>218</v>
      </c>
      <c r="Q42" s="4" t="s">
        <v>217</v>
      </c>
      <c r="R42" s="9"/>
      <c r="AX42" s="3" t="s">
        <v>180</v>
      </c>
      <c r="AY42" s="3">
        <f>IF((Français!$E$38*Français!$E$52/100/Français!$E$48*(1-Français!$E$59/100))&lt;10,0,INDEX($T$47:$AU$60,AY$43,($C$5*4)-3+$C$80)*Français!$E$38*(1-Français!$E$59/100))</f>
        <v>34634.67290075327</v>
      </c>
      <c r="AZ42" s="3">
        <f>IF((Français!$E$38*Français!$E$52/100/Français!$E$48*(1-Français!$E$59/100))&lt;10,0,INDEX($T$47:$AU$60,AZ$43,($C$5*4)-3+$C$80)*Français!$E$38*(1-Français!$E$59/100))</f>
        <v>31282.930361970699</v>
      </c>
      <c r="BA42" s="3">
        <f>IF((Français!$E$38*Français!$E$52/100/Français!$E$48*(1-Français!$E$59/100))&lt;10,0,INDEX($T$47:$AU$60,BA$43,($C$5*4)-3+$C$80)*Français!$E$38*(1-Français!$E$59/100))</f>
        <v>33494.149397973088</v>
      </c>
      <c r="BB42" s="3">
        <f>IF((Français!$E$38*Français!$E$52/100/Français!$E$48*(1-Français!$E$59/100))&lt;10,0,INDEX($T$47:$AU$60,BB$43,($C$5*4)-3+$C$80)*Français!$E$38*(1-Français!$E$59/100))</f>
        <v>31841.554118434462</v>
      </c>
      <c r="BC42" s="3">
        <f>IF((Français!$E$38*Français!$E$52/100/Français!$E$48*(1-Français!$E$59/100))&lt;10,0,INDEX($T$47:$AU$60,BC$43,($C$5*4)-3+$C$80)*Français!$E$38*(1-Français!$E$59/100))</f>
        <v>13709.558023214848</v>
      </c>
      <c r="BD42" s="3">
        <f>IF((Français!$E$38*Français!$E$52/100/Français!$E$48*(1-Français!$E$59/100))&lt;10,0,INDEX($T$47:$AU$60,BD$43,($C$5*4)-3+$C$80)*Français!$E$38*(1-Français!$E$59/100))</f>
        <v>977.59157381158991</v>
      </c>
      <c r="BE42" s="3">
        <f>IF((Français!$E$38*Français!$E$52/100/Français!$E$48*(1-Français!$E$59/100))&lt;10,0,INDEX($T$47:$AU$60,BE$43,($C$5*4)-3+$C$80)*Français!$E$38*(1-Français!$E$59/100))</f>
        <v>0</v>
      </c>
      <c r="BF42" s="3">
        <f>IF((Français!$E$38*Français!$E$52/100/Français!$E$48*(1-Français!$E$59/100))&lt;10,0,INDEX($T$47:$AU$60,BF$43,($C$5*4)-3+$C$80)*Français!$E$38*(1-Français!$E$59/100))</f>
        <v>0</v>
      </c>
      <c r="BG42" s="3">
        <f>IF((Français!$E$38*Français!$E$52/100/Français!$E$48*(1-Français!$E$59/100))&lt;10,0,INDEX($T$47:$AU$60,BG$43,($C$5*4)-3+$C$80)*Français!$E$38*(1-Français!$E$59/100))</f>
        <v>3561.2264474565022</v>
      </c>
      <c r="BH42" s="3">
        <f>IF((Français!$E$38*Français!$E$52/100/Français!$E$48*(1-Français!$E$59/100))&lt;10,0,INDEX($T$47:$AU$60,BH$43,($C$5*4)-3+$C$80)*Français!$E$38*(1-Français!$E$59/100))</f>
        <v>26092.384624828243</v>
      </c>
      <c r="BI42" s="3">
        <f>IF((Français!$E$38*Français!$E$52/100/Français!$E$48*(1-Français!$E$59/100))&lt;10,0,INDEX($T$47:$AU$60,BI$43,($C$5*4)-3+$C$80)*Français!$E$38*(1-Français!$E$59/100))</f>
        <v>33238.113509593866</v>
      </c>
      <c r="BJ42" s="3">
        <f>IF((Français!$E$38*Français!$E$52/100/Français!$E$48*(1-Français!$E$59/100))&lt;10,0,INDEX($T$47:$AU$60,BJ$43,($C$5*4)-3+$C$80)*Français!$E$38*(1-Français!$E$59/100))</f>
        <v>34634.67290075327</v>
      </c>
    </row>
    <row r="43" spans="1:62" x14ac:dyDescent="0.25">
      <c r="B43" s="9" t="s">
        <v>388</v>
      </c>
      <c r="C43" s="9" t="s">
        <v>346</v>
      </c>
      <c r="D43" s="3">
        <f>IF($C$1=1,N43,I43)</f>
        <v>4.7523917089353773E-2</v>
      </c>
      <c r="E43" s="3">
        <f>IF($C$1=1,O43,J43)</f>
        <v>115.06672658752305</v>
      </c>
      <c r="F43" s="3">
        <f>IF($C$1=1,P43,K43)</f>
        <v>4.3592840131123564E-2</v>
      </c>
      <c r="G43" s="3">
        <f>IF($C$1=1,Q43,L43)</f>
        <v>103.85624907082976</v>
      </c>
      <c r="H43" s="3">
        <f>IF($C$1=1,R43,M43)</f>
        <v>22</v>
      </c>
      <c r="I43" s="121">
        <v>6.6071628857338388E-2</v>
      </c>
      <c r="J43" s="121">
        <v>63.565735983368612</v>
      </c>
      <c r="K43" s="121">
        <v>2.3349170941652609E-2</v>
      </c>
      <c r="L43" s="121">
        <v>98.852633901817839</v>
      </c>
      <c r="M43" s="121">
        <v>59</v>
      </c>
      <c r="N43" s="3">
        <v>4.7523917089353773E-2</v>
      </c>
      <c r="O43" s="3">
        <v>115.06672658752305</v>
      </c>
      <c r="P43" s="3">
        <v>4.3592840131123564E-2</v>
      </c>
      <c r="Q43" s="3">
        <v>103.85624907082976</v>
      </c>
      <c r="R43" s="119">
        <v>22</v>
      </c>
      <c r="AX43" s="3" t="s">
        <v>178</v>
      </c>
      <c r="AY43" s="3">
        <v>1</v>
      </c>
      <c r="AZ43" s="3">
        <v>2</v>
      </c>
      <c r="BA43" s="3">
        <v>3</v>
      </c>
      <c r="BB43" s="3">
        <v>4</v>
      </c>
      <c r="BC43" s="3">
        <v>5</v>
      </c>
      <c r="BD43" s="3">
        <v>6</v>
      </c>
      <c r="BE43" s="3">
        <v>7</v>
      </c>
      <c r="BF43" s="3">
        <v>8</v>
      </c>
      <c r="BG43" s="3">
        <v>9</v>
      </c>
      <c r="BH43" s="3">
        <v>10</v>
      </c>
      <c r="BI43" s="3">
        <v>11</v>
      </c>
      <c r="BJ43" s="3">
        <v>12</v>
      </c>
    </row>
    <row r="44" spans="1:62" x14ac:dyDescent="0.25">
      <c r="B44" s="9" t="s">
        <v>372</v>
      </c>
      <c r="C44" s="9" t="s">
        <v>347</v>
      </c>
      <c r="D44" s="3">
        <f t="shared" ref="D44:D59" si="10">IF($C$1=1,N44,I44)</f>
        <v>1.736460819371223E-2</v>
      </c>
      <c r="E44" s="3">
        <f t="shared" ref="E44:E59" si="11">IF($C$1=1,O44,J44)</f>
        <v>796.5811384436422</v>
      </c>
      <c r="F44" s="3">
        <f t="shared" ref="F44:F59" si="12">IF($C$1=1,P44,K44)</f>
        <v>0.10853035594484992</v>
      </c>
      <c r="G44" s="3">
        <f t="shared" ref="G44:G59" si="13">IF($C$1=1,Q44,L44)</f>
        <v>-509.22051580591324</v>
      </c>
      <c r="H44" s="3">
        <f t="shared" ref="H44:H59" si="14">IF($C$1=1,R44,M44)</f>
        <v>20</v>
      </c>
      <c r="I44" s="121">
        <v>3.8167993704616716E-2</v>
      </c>
      <c r="J44" s="121">
        <v>440.52741928840385</v>
      </c>
      <c r="K44" s="121">
        <v>1.6743320819500682E-2</v>
      </c>
      <c r="L44" s="121">
        <v>279.66863847852039</v>
      </c>
      <c r="M44" s="121">
        <v>35</v>
      </c>
      <c r="N44" s="3">
        <v>1.736460819371223E-2</v>
      </c>
      <c r="O44" s="3">
        <v>796.5811384436422</v>
      </c>
      <c r="P44" s="3">
        <v>0.10853035594484992</v>
      </c>
      <c r="Q44" s="3">
        <v>-509.22051580591324</v>
      </c>
      <c r="R44" s="119">
        <v>20</v>
      </c>
      <c r="AX44" s="3" t="s">
        <v>181</v>
      </c>
      <c r="AY44" s="3">
        <f>AY41-AY42</f>
        <v>25252.43868924673</v>
      </c>
      <c r="AZ44" s="3">
        <f t="shared" ref="AZ44:BJ44" si="15">AZ41-AZ42</f>
        <v>23506.494333029295</v>
      </c>
      <c r="BA44" s="3">
        <f t="shared" si="15"/>
        <v>15597.860532026913</v>
      </c>
      <c r="BB44" s="3">
        <f t="shared" si="15"/>
        <v>6840.8934965655353</v>
      </c>
      <c r="BC44" s="3">
        <f t="shared" si="15"/>
        <v>11393.337106785153</v>
      </c>
      <c r="BD44" s="3">
        <f t="shared" si="15"/>
        <v>16800.056001188408</v>
      </c>
      <c r="BE44" s="3">
        <f t="shared" si="15"/>
        <v>13836.578715000001</v>
      </c>
      <c r="BF44" s="3">
        <f t="shared" si="15"/>
        <v>13708.0656</v>
      </c>
      <c r="BG44" s="3">
        <f t="shared" si="15"/>
        <v>16058.442442543499</v>
      </c>
      <c r="BH44" s="3">
        <f t="shared" si="15"/>
        <v>5479.0039601717581</v>
      </c>
      <c r="BI44" s="3">
        <f t="shared" si="15"/>
        <v>13883.361990406134</v>
      </c>
      <c r="BJ44" s="3">
        <f t="shared" si="15"/>
        <v>22467.98786424673</v>
      </c>
    </row>
    <row r="45" spans="1:62" x14ac:dyDescent="0.25">
      <c r="B45" s="9" t="s">
        <v>371</v>
      </c>
      <c r="C45" s="9" t="s">
        <v>348</v>
      </c>
      <c r="D45" s="3">
        <f t="shared" si="10"/>
        <v>0.2562044813026193</v>
      </c>
      <c r="E45" s="3">
        <f t="shared" si="11"/>
        <v>31.877827862338734</v>
      </c>
      <c r="F45" s="3">
        <f t="shared" si="12"/>
        <v>0.76183388051405587</v>
      </c>
      <c r="G45" s="3">
        <f t="shared" si="13"/>
        <v>152.25548326237549</v>
      </c>
      <c r="H45" s="3">
        <f t="shared" si="14"/>
        <v>19</v>
      </c>
      <c r="I45" s="121">
        <v>0.10608434774644521</v>
      </c>
      <c r="J45" s="121">
        <v>484.5712744738687</v>
      </c>
      <c r="K45" s="121">
        <v>0.14585977467127076</v>
      </c>
      <c r="L45" s="121">
        <v>1875.227568307434</v>
      </c>
      <c r="M45" s="121">
        <v>26</v>
      </c>
      <c r="N45" s="3">
        <v>0.2562044813026193</v>
      </c>
      <c r="O45" s="3">
        <v>31.877827862338734</v>
      </c>
      <c r="P45" s="3">
        <v>0.76183388051405587</v>
      </c>
      <c r="Q45" s="3">
        <v>152.25548326237549</v>
      </c>
      <c r="R45" s="11">
        <v>19</v>
      </c>
      <c r="T45" s="8" t="s">
        <v>177</v>
      </c>
    </row>
    <row r="46" spans="1:62" x14ac:dyDescent="0.25">
      <c r="B46" s="9" t="s">
        <v>389</v>
      </c>
      <c r="C46" s="9" t="s">
        <v>349</v>
      </c>
      <c r="D46" s="3">
        <f t="shared" si="10"/>
        <v>8.0964148596313346E-2</v>
      </c>
      <c r="E46" s="3">
        <f t="shared" si="11"/>
        <v>119.40986421157783</v>
      </c>
      <c r="F46" s="3">
        <f t="shared" si="12"/>
        <v>0.10208436388499657</v>
      </c>
      <c r="G46" s="3">
        <f t="shared" si="13"/>
        <v>14.123116531271535</v>
      </c>
      <c r="H46" s="3">
        <f t="shared" si="14"/>
        <v>48</v>
      </c>
      <c r="I46" s="125">
        <v>3.8797286027369704E-2</v>
      </c>
      <c r="J46" s="125">
        <v>262.76753866947718</v>
      </c>
      <c r="K46" s="125">
        <v>8.1559902948363627E-2</v>
      </c>
      <c r="L46" s="125">
        <v>81.407348693854885</v>
      </c>
      <c r="M46" s="121">
        <v>29</v>
      </c>
      <c r="N46" s="3">
        <v>8.0964148596313346E-2</v>
      </c>
      <c r="O46" s="3">
        <v>119.40986421157783</v>
      </c>
      <c r="P46" s="3">
        <v>0.10208436388499657</v>
      </c>
      <c r="Q46" s="3">
        <v>14.123116531271535</v>
      </c>
      <c r="R46" s="11">
        <v>48</v>
      </c>
      <c r="T46" s="3" t="s">
        <v>175</v>
      </c>
      <c r="U46" s="3" t="s">
        <v>176</v>
      </c>
      <c r="V46" s="3" t="s">
        <v>238</v>
      </c>
      <c r="W46" s="3" t="s">
        <v>239</v>
      </c>
      <c r="X46" s="3" t="s">
        <v>182</v>
      </c>
      <c r="Y46" s="3" t="s">
        <v>183</v>
      </c>
      <c r="Z46" s="3" t="s">
        <v>240</v>
      </c>
      <c r="AA46" s="3" t="s">
        <v>241</v>
      </c>
      <c r="AB46" s="3" t="s">
        <v>184</v>
      </c>
      <c r="AC46" s="3" t="s">
        <v>185</v>
      </c>
      <c r="AD46" s="3" t="s">
        <v>242</v>
      </c>
      <c r="AE46" s="3" t="s">
        <v>243</v>
      </c>
      <c r="AF46" s="3" t="s">
        <v>186</v>
      </c>
      <c r="AG46" s="3" t="s">
        <v>187</v>
      </c>
      <c r="AH46" s="3" t="s">
        <v>392</v>
      </c>
      <c r="AI46" s="3" t="s">
        <v>393</v>
      </c>
      <c r="AJ46" s="3" t="s">
        <v>188</v>
      </c>
      <c r="AK46" s="3" t="s">
        <v>189</v>
      </c>
      <c r="AL46" s="3" t="s">
        <v>244</v>
      </c>
      <c r="AM46" s="3" t="s">
        <v>245</v>
      </c>
      <c r="AN46" s="3" t="s">
        <v>190</v>
      </c>
      <c r="AO46" s="3" t="s">
        <v>191</v>
      </c>
      <c r="AP46" s="3" t="s">
        <v>246</v>
      </c>
      <c r="AQ46" s="3" t="s">
        <v>247</v>
      </c>
      <c r="AR46" s="3" t="s">
        <v>274</v>
      </c>
      <c r="AS46" s="3" t="s">
        <v>275</v>
      </c>
      <c r="AT46" s="3" t="s">
        <v>276</v>
      </c>
      <c r="AU46" s="3" t="s">
        <v>277</v>
      </c>
      <c r="AX46" s="8" t="s">
        <v>250</v>
      </c>
      <c r="AY46" s="120" t="s">
        <v>334</v>
      </c>
      <c r="AZ46" s="120" t="s">
        <v>335</v>
      </c>
      <c r="BA46" s="120" t="s">
        <v>336</v>
      </c>
      <c r="BB46" s="120" t="s">
        <v>337</v>
      </c>
      <c r="BC46" s="120" t="s">
        <v>338</v>
      </c>
      <c r="BD46" s="120" t="s">
        <v>339</v>
      </c>
      <c r="BE46" s="120" t="s">
        <v>340</v>
      </c>
      <c r="BF46" s="120" t="s">
        <v>341</v>
      </c>
      <c r="BG46" s="120" t="s">
        <v>342</v>
      </c>
      <c r="BH46" s="120" t="s">
        <v>345</v>
      </c>
      <c r="BI46" s="120" t="s">
        <v>343</v>
      </c>
      <c r="BJ46" s="120" t="s">
        <v>344</v>
      </c>
    </row>
    <row r="47" spans="1:62" x14ac:dyDescent="0.25">
      <c r="B47" s="9" t="s">
        <v>373</v>
      </c>
      <c r="C47" s="9" t="s">
        <v>349</v>
      </c>
      <c r="D47" s="3">
        <f t="shared" si="10"/>
        <v>5.3200616861098865E-2</v>
      </c>
      <c r="E47" s="3">
        <f t="shared" si="11"/>
        <v>817.40164939444435</v>
      </c>
      <c r="F47" s="3">
        <f t="shared" si="12"/>
        <v>0.10543927205139987</v>
      </c>
      <c r="G47" s="3">
        <f t="shared" si="13"/>
        <v>546.57780311561783</v>
      </c>
      <c r="H47" s="3">
        <f t="shared" si="14"/>
        <v>36</v>
      </c>
      <c r="I47" s="123">
        <f>I46</f>
        <v>3.8797286027369704E-2</v>
      </c>
      <c r="J47" s="123">
        <f>J46</f>
        <v>262.76753866947718</v>
      </c>
      <c r="K47" s="123">
        <f>K46</f>
        <v>8.1559902948363627E-2</v>
      </c>
      <c r="L47" s="123">
        <f>L46</f>
        <v>81.407348693854885</v>
      </c>
      <c r="N47" s="3">
        <v>5.3200616861098865E-2</v>
      </c>
      <c r="O47" s="3">
        <v>817.40164939444435</v>
      </c>
      <c r="P47" s="3">
        <v>0.10543927205139987</v>
      </c>
      <c r="Q47" s="3">
        <v>546.57780311561783</v>
      </c>
      <c r="R47" s="11">
        <v>36</v>
      </c>
      <c r="T47" s="93">
        <v>0.15184815184815184</v>
      </c>
      <c r="U47" s="93">
        <v>7.0124044131984142E-2</v>
      </c>
      <c r="V47" s="93">
        <v>7.9235143055944715E-2</v>
      </c>
      <c r="W47" s="93">
        <v>8.21883958106049E-2</v>
      </c>
      <c r="X47" s="93">
        <v>0.15329999999999999</v>
      </c>
      <c r="Y47" s="93">
        <v>7.6095475424176717E-2</v>
      </c>
      <c r="Z47" s="93">
        <v>8.1981648563051512E-2</v>
      </c>
      <c r="AA47" s="93">
        <v>8.4469618652674841E-2</v>
      </c>
      <c r="AB47" s="93">
        <v>0.13980000000000001</v>
      </c>
      <c r="AC47" s="93">
        <v>8.0850906697156846E-2</v>
      </c>
      <c r="AD47" s="93">
        <v>8.0850906697156791E-2</v>
      </c>
      <c r="AE47" s="93">
        <v>8.0850906697156846E-2</v>
      </c>
      <c r="AF47" s="93">
        <v>0.1353</v>
      </c>
      <c r="AG47" s="93">
        <v>7.4422536568582998E-2</v>
      </c>
      <c r="AH47" s="93">
        <v>7.5231477183458836E-2</v>
      </c>
      <c r="AI47" s="93">
        <v>7.5231477183458892E-2</v>
      </c>
      <c r="AJ47" s="93">
        <v>9.4E-2</v>
      </c>
      <c r="AK47" s="93">
        <v>4.6983729333439195E-2</v>
      </c>
      <c r="AL47" s="93">
        <v>5.5623299396819391E-2</v>
      </c>
      <c r="AM47" s="93">
        <v>5.5720373217756358E-2</v>
      </c>
      <c r="AN47" s="93">
        <v>0.15710000000000002</v>
      </c>
      <c r="AO47" s="93">
        <v>7.7528844635843086E-2</v>
      </c>
      <c r="AP47" s="93">
        <v>8.1147588444871133E-2</v>
      </c>
      <c r="AQ47" s="93">
        <v>8.1586224058086632E-2</v>
      </c>
      <c r="AR47" s="93">
        <v>0.13792260137892054</v>
      </c>
      <c r="AS47" s="93">
        <v>7.3268881586438489E-2</v>
      </c>
      <c r="AT47" s="109">
        <v>7.3565516734564657E-2</v>
      </c>
      <c r="AU47" s="93">
        <v>7.3565516734561728E-2</v>
      </c>
      <c r="AX47" s="3" t="s">
        <v>179</v>
      </c>
      <c r="AY47" s="3" t="e">
        <f>INDEX($T$47:$AU$60,AY$43,($C$5*4)-3)*#REF!</f>
        <v>#REF!</v>
      </c>
      <c r="AZ47" s="3" t="e">
        <f>INDEX($T$47:$AU$60,AZ$43,($C$5*4)-3)*#REF!</f>
        <v>#REF!</v>
      </c>
      <c r="BA47" s="3" t="e">
        <f>INDEX($T$47:$AU$60,BA$43,($C$5*4)-3)*#REF!</f>
        <v>#REF!</v>
      </c>
      <c r="BB47" s="3" t="e">
        <f>INDEX($T$47:$AU$60,BB$43,($C$5*4)-3)*#REF!</f>
        <v>#REF!</v>
      </c>
      <c r="BC47" s="3" t="e">
        <f>INDEX($T$47:$AU$60,BC$43,($C$5*4)-3)*#REF!</f>
        <v>#REF!</v>
      </c>
      <c r="BD47" s="3" t="e">
        <f>INDEX($T$47:$AU$60,BD$43,($C$5*4)-3)*#REF!</f>
        <v>#REF!</v>
      </c>
      <c r="BE47" s="3" t="e">
        <f>INDEX($T$47:$AU$60,BE$43,($C$5*4)-3)*#REF!</f>
        <v>#REF!</v>
      </c>
      <c r="BF47" s="3" t="e">
        <f>INDEX($T$47:$AU$60,BF$43,($C$5*4)-3)*#REF!</f>
        <v>#REF!</v>
      </c>
      <c r="BG47" s="3" t="e">
        <f>INDEX($T$47:$AU$60,BG$43,($C$5*4)-3)*#REF!</f>
        <v>#REF!</v>
      </c>
      <c r="BH47" s="3" t="e">
        <f>INDEX($T$47:$AU$60,BH$43,($C$5*4)-3)*#REF!</f>
        <v>#REF!</v>
      </c>
      <c r="BI47" s="3" t="e">
        <f>INDEX($T$47:$AU$60,BI$43,($C$5*4)-3)*#REF!</f>
        <v>#REF!</v>
      </c>
      <c r="BJ47" s="3" t="e">
        <f>INDEX($T$47:$AU$60,BJ$43,($C$5*4)-3)*#REF!</f>
        <v>#REF!</v>
      </c>
    </row>
    <row r="48" spans="1:62" x14ac:dyDescent="0.25">
      <c r="B48" s="9" t="s">
        <v>387</v>
      </c>
      <c r="C48" s="9" t="s">
        <v>350</v>
      </c>
      <c r="D48" s="3">
        <f t="shared" si="10"/>
        <v>8.6572138382137342E-2</v>
      </c>
      <c r="E48" s="3">
        <f t="shared" si="11"/>
        <v>89.825454994348945</v>
      </c>
      <c r="F48" s="3">
        <f t="shared" si="12"/>
        <v>8.7306999999999996E-2</v>
      </c>
      <c r="G48" s="3">
        <f t="shared" si="13"/>
        <v>0</v>
      </c>
      <c r="H48" s="3">
        <f t="shared" si="14"/>
        <v>30</v>
      </c>
      <c r="I48" s="121">
        <v>0.14934904408621741</v>
      </c>
      <c r="J48" s="121">
        <v>68.254894730740318</v>
      </c>
      <c r="K48" s="121">
        <v>5.054205891448274E-2</v>
      </c>
      <c r="L48" s="121">
        <v>9.0696172852812538</v>
      </c>
      <c r="M48" s="121">
        <v>121</v>
      </c>
      <c r="N48" s="3">
        <v>8.6572138382137342E-2</v>
      </c>
      <c r="O48" s="3">
        <v>89.825454994348945</v>
      </c>
      <c r="P48" s="3">
        <v>8.7306999999999996E-2</v>
      </c>
      <c r="Q48" s="3">
        <v>0</v>
      </c>
      <c r="R48" s="11">
        <v>30</v>
      </c>
      <c r="T48" s="93">
        <v>0.13786213786213786</v>
      </c>
      <c r="U48" s="93">
        <v>6.4343208952645045E-2</v>
      </c>
      <c r="V48" s="93">
        <v>7.270028589669135E-2</v>
      </c>
      <c r="W48" s="93">
        <v>7.5653538651351979E-2</v>
      </c>
      <c r="X48" s="93">
        <v>0.1386</v>
      </c>
      <c r="Y48" s="93">
        <v>6.978452690414931E-2</v>
      </c>
      <c r="Z48" s="93">
        <v>7.5367289056483822E-2</v>
      </c>
      <c r="AA48" s="93">
        <v>7.7551848159567657E-2</v>
      </c>
      <c r="AB48" s="93">
        <v>0.12789999999999999</v>
      </c>
      <c r="AC48" s="93">
        <v>7.3026625403883605E-2</v>
      </c>
      <c r="AD48" s="93">
        <v>7.3026625403883563E-2</v>
      </c>
      <c r="AE48" s="93">
        <v>7.3026625403883605E-2</v>
      </c>
      <c r="AF48" s="93">
        <v>0.12429999999999999</v>
      </c>
      <c r="AG48" s="93">
        <v>6.7748776495856811E-2</v>
      </c>
      <c r="AH48" s="93">
        <v>6.7951011649575732E-2</v>
      </c>
      <c r="AI48" s="93">
        <v>6.7951011649575788E-2</v>
      </c>
      <c r="AJ48" s="93">
        <v>9.0999999999999998E-2</v>
      </c>
      <c r="AK48" s="93">
        <v>4.2712481212217469E-2</v>
      </c>
      <c r="AL48" s="93">
        <v>5.0478386887165952E-2</v>
      </c>
      <c r="AM48" s="93">
        <v>5.0478386887166063E-2</v>
      </c>
      <c r="AN48" s="93">
        <v>0.14150000000000001</v>
      </c>
      <c r="AO48" s="93">
        <v>6.8756132371532691E-2</v>
      </c>
      <c r="AP48" s="93">
        <v>7.3032829600384014E-2</v>
      </c>
      <c r="AQ48" s="93">
        <v>7.3690783020207276E-2</v>
      </c>
      <c r="AR48" s="93">
        <v>0.144797865566442</v>
      </c>
      <c r="AS48" s="93">
        <v>6.6446273179604151E-2</v>
      </c>
      <c r="AT48" s="109">
        <v>6.6446273179606427E-2</v>
      </c>
      <c r="AU48" s="93">
        <v>6.6446273179604151E-2</v>
      </c>
      <c r="AX48" s="3" t="s">
        <v>180</v>
      </c>
      <c r="AY48" s="3" t="e">
        <f>INDEX($T$47:$AU$60,AY$43,($C$5*4)-3+$C$80)*#REF!</f>
        <v>#REF!</v>
      </c>
      <c r="AZ48" s="3" t="e">
        <f>INDEX($T$47:$AU$60,AZ$43,($C$5*4)-3+$C$80)*#REF!</f>
        <v>#REF!</v>
      </c>
      <c r="BA48" s="3" t="e">
        <f>INDEX($T$47:$AU$60,BA$43,($C$5*4)-3+$C$80)*#REF!</f>
        <v>#REF!</v>
      </c>
      <c r="BB48" s="3" t="e">
        <f>INDEX($T$47:$AU$60,BB$43,($C$5*4)-3+$C$80)*#REF!</f>
        <v>#REF!</v>
      </c>
      <c r="BC48" s="3" t="e">
        <f>INDEX($T$47:$AU$60,BC$43,($C$5*4)-3+$C$80)*#REF!</f>
        <v>#REF!</v>
      </c>
      <c r="BD48" s="3" t="e">
        <f>INDEX($T$47:$AU$60,BD$43,($C$5*4)-3+$C$80)*#REF!</f>
        <v>#REF!</v>
      </c>
      <c r="BE48" s="3" t="e">
        <f>INDEX($T$47:$AU$60,BE$43,($C$5*4)-3+$C$80)*#REF!</f>
        <v>#REF!</v>
      </c>
      <c r="BF48" s="3" t="e">
        <f>INDEX($T$47:$AU$60,BF$43,($C$5*4)-3+$C$80)*#REF!</f>
        <v>#REF!</v>
      </c>
      <c r="BG48" s="3" t="e">
        <f>INDEX($T$47:$AU$60,BG$43,($C$5*4)-3+$C$80)*#REF!</f>
        <v>#REF!</v>
      </c>
      <c r="BH48" s="3" t="e">
        <f>INDEX($T$47:$AU$60,BH$43,($C$5*4)-3+$C$80)*#REF!</f>
        <v>#REF!</v>
      </c>
      <c r="BI48" s="3" t="e">
        <f>INDEX($T$47:$AU$60,BI$43,($C$5*4)-3+$C$80)*#REF!</f>
        <v>#REF!</v>
      </c>
      <c r="BJ48" s="3" t="e">
        <f>INDEX($T$47:$AU$60,BJ$43,($C$5*4)-3+$C$80)*#REF!</f>
        <v>#REF!</v>
      </c>
    </row>
    <row r="49" spans="2:62" x14ac:dyDescent="0.25">
      <c r="B49" s="9" t="s">
        <v>374</v>
      </c>
      <c r="C49" s="9" t="s">
        <v>350</v>
      </c>
      <c r="D49" s="3">
        <f t="shared" si="10"/>
        <v>0.11075632470285238</v>
      </c>
      <c r="E49" s="3">
        <f t="shared" si="11"/>
        <v>-337.89877619663866</v>
      </c>
      <c r="F49" s="3">
        <f t="shared" si="12"/>
        <v>4.3182811808110164E-2</v>
      </c>
      <c r="G49" s="3">
        <f t="shared" si="13"/>
        <v>820.99226859737155</v>
      </c>
      <c r="H49" s="3">
        <f t="shared" si="14"/>
        <v>23</v>
      </c>
      <c r="I49" s="124">
        <f>I48</f>
        <v>0.14934904408621741</v>
      </c>
      <c r="J49" s="124">
        <f>J48</f>
        <v>68.254894730740318</v>
      </c>
      <c r="K49" s="124">
        <f>K48</f>
        <v>5.054205891448274E-2</v>
      </c>
      <c r="L49" s="124">
        <f>L48</f>
        <v>9.0696172852812538</v>
      </c>
      <c r="N49" s="3">
        <v>0.11075632470285238</v>
      </c>
      <c r="O49" s="3">
        <v>-337.89877619663866</v>
      </c>
      <c r="P49" s="3">
        <v>4.3182811808110164E-2</v>
      </c>
      <c r="Q49" s="3">
        <v>820.99226859737155</v>
      </c>
      <c r="R49" s="11">
        <v>23</v>
      </c>
      <c r="T49" s="93">
        <v>0.12187812187812186</v>
      </c>
      <c r="U49" s="93">
        <v>6.0196088063119171E-2</v>
      </c>
      <c r="V49" s="93">
        <v>7.200909908177032E-2</v>
      </c>
      <c r="W49" s="93">
        <v>7.6407560631265775E-2</v>
      </c>
      <c r="X49" s="93">
        <v>0.12210000000000001</v>
      </c>
      <c r="Y49" s="93">
        <v>6.1531748070267303E-2</v>
      </c>
      <c r="Z49" s="93">
        <v>7.4639102688788303E-2</v>
      </c>
      <c r="AA49" s="93">
        <v>7.8886856500342689E-2</v>
      </c>
      <c r="AB49" s="93">
        <v>0.11460000000000001</v>
      </c>
      <c r="AC49" s="93">
        <v>7.1831249095189093E-2</v>
      </c>
      <c r="AD49" s="93">
        <v>7.8188477645973545E-2</v>
      </c>
      <c r="AE49" s="93">
        <v>7.8894836373838539E-2</v>
      </c>
      <c r="AF49" s="93">
        <v>0.11210000000000001</v>
      </c>
      <c r="AG49" s="93">
        <v>6.6535365573542962E-2</v>
      </c>
      <c r="AH49" s="93">
        <v>7.2855214127260884E-2</v>
      </c>
      <c r="AI49" s="93">
        <v>7.3714713530566578E-2</v>
      </c>
      <c r="AJ49" s="93">
        <v>8.8000000000000009E-2</v>
      </c>
      <c r="AK49" s="93">
        <v>4.9119353394050061E-2</v>
      </c>
      <c r="AL49" s="93">
        <v>5.494378265026139E-2</v>
      </c>
      <c r="AM49" s="93">
        <v>5.8050144920240937E-2</v>
      </c>
      <c r="AN49" s="93">
        <v>0.1242</v>
      </c>
      <c r="AO49" s="93">
        <v>6.4808411852593006E-2</v>
      </c>
      <c r="AP49" s="93">
        <v>7.4951860408201912E-2</v>
      </c>
      <c r="AQ49" s="93">
        <v>7.6980550119323685E-2</v>
      </c>
      <c r="AR49" s="93">
        <v>0.13049445662932382</v>
      </c>
      <c r="AS49" s="93">
        <v>6.9511503043544212E-2</v>
      </c>
      <c r="AT49" s="109">
        <v>7.2477854524779381E-2</v>
      </c>
      <c r="AU49" s="93">
        <v>7.2675611290192024E-2</v>
      </c>
      <c r="AX49" s="3" t="s">
        <v>178</v>
      </c>
      <c r="AY49" s="3">
        <v>1</v>
      </c>
      <c r="AZ49" s="3">
        <v>2</v>
      </c>
      <c r="BA49" s="3">
        <v>3</v>
      </c>
      <c r="BB49" s="3">
        <v>4</v>
      </c>
      <c r="BC49" s="3">
        <v>5</v>
      </c>
      <c r="BD49" s="3">
        <v>6</v>
      </c>
      <c r="BE49" s="3">
        <v>7</v>
      </c>
      <c r="BF49" s="3">
        <v>8</v>
      </c>
      <c r="BG49" s="3">
        <v>9</v>
      </c>
      <c r="BH49" s="3">
        <v>10</v>
      </c>
      <c r="BI49" s="3">
        <v>11</v>
      </c>
      <c r="BJ49" s="3">
        <v>12</v>
      </c>
    </row>
    <row r="50" spans="2:62" x14ac:dyDescent="0.25">
      <c r="B50" s="9" t="s">
        <v>370</v>
      </c>
      <c r="C50" s="9" t="s">
        <v>206</v>
      </c>
      <c r="D50" s="3">
        <f t="shared" si="10"/>
        <v>0.16151305733119001</v>
      </c>
      <c r="E50" s="3">
        <f t="shared" si="11"/>
        <v>118.70868886174253</v>
      </c>
      <c r="F50" s="3">
        <f t="shared" si="12"/>
        <v>5.0420959154833522E-2</v>
      </c>
      <c r="G50" s="3">
        <f t="shared" si="13"/>
        <v>505.38008661379672</v>
      </c>
      <c r="H50" s="3">
        <f t="shared" si="14"/>
        <v>15</v>
      </c>
      <c r="I50" s="121">
        <v>0.19610199416581467</v>
      </c>
      <c r="J50" s="121">
        <v>151.82949274367422</v>
      </c>
      <c r="K50" s="121">
        <v>9.6999487325958506E-2</v>
      </c>
      <c r="L50" s="121">
        <v>73.571569656145016</v>
      </c>
      <c r="M50" s="121">
        <v>18</v>
      </c>
      <c r="N50" s="3">
        <v>0.16151305733119001</v>
      </c>
      <c r="O50" s="3">
        <v>118.70868886174253</v>
      </c>
      <c r="P50" s="3">
        <v>5.0420959154833522E-2</v>
      </c>
      <c r="Q50" s="3">
        <v>505.38008661379672</v>
      </c>
      <c r="R50" s="11">
        <v>15</v>
      </c>
      <c r="T50" s="93">
        <v>9.1908091908091891E-2</v>
      </c>
      <c r="U50" s="93">
        <v>4.021450559540355E-2</v>
      </c>
      <c r="V50" s="93">
        <v>5.5986132008600996E-2</v>
      </c>
      <c r="W50" s="93">
        <v>6.2709494662831822E-2</v>
      </c>
      <c r="X50" s="93">
        <v>9.1899999999999996E-2</v>
      </c>
      <c r="Y50" s="93">
        <v>3.9928885828635005E-2</v>
      </c>
      <c r="Z50" s="93">
        <v>5.8133545021023053E-2</v>
      </c>
      <c r="AA50" s="93">
        <v>6.4687222330281013E-2</v>
      </c>
      <c r="AB50" s="93">
        <v>9.0299999999999991E-2</v>
      </c>
      <c r="AC50" s="93">
        <v>5.7595403964372509E-2</v>
      </c>
      <c r="AD50" s="93">
        <v>7.4330672286095772E-2</v>
      </c>
      <c r="AE50" s="93">
        <v>7.4982695727201912E-2</v>
      </c>
      <c r="AF50" s="93">
        <v>8.9700000000000002E-2</v>
      </c>
      <c r="AG50" s="93">
        <v>5.0963258737181868E-2</v>
      </c>
      <c r="AH50" s="93">
        <v>6.6282571631394185E-2</v>
      </c>
      <c r="AI50" s="93">
        <v>6.8557717110732705E-2</v>
      </c>
      <c r="AJ50" s="93">
        <v>0.09</v>
      </c>
      <c r="AK50" s="93">
        <v>4.2712481212217469E-2</v>
      </c>
      <c r="AL50" s="93">
        <v>5.0478386887165952E-2</v>
      </c>
      <c r="AM50" s="93">
        <v>5.0478386887166063E-2</v>
      </c>
      <c r="AN50" s="93">
        <v>9.2399999999999996E-2</v>
      </c>
      <c r="AO50" s="93">
        <v>5.2965250295773973E-2</v>
      </c>
      <c r="AP50" s="93">
        <v>6.5192218014156603E-2</v>
      </c>
      <c r="AQ50" s="93">
        <v>6.985272140457148E-2</v>
      </c>
      <c r="AR50" s="93">
        <v>8.8771930151552228E-2</v>
      </c>
      <c r="AS50" s="93">
        <v>4.9636948119287656E-2</v>
      </c>
      <c r="AT50" s="109">
        <v>6.5358610969821151E-2</v>
      </c>
      <c r="AU50" s="93">
        <v>6.7039543475850616E-2</v>
      </c>
      <c r="AX50" s="3" t="s">
        <v>181</v>
      </c>
      <c r="AY50" s="3" t="e">
        <f>AY47-AY48</f>
        <v>#REF!</v>
      </c>
      <c r="AZ50" s="3" t="e">
        <f t="shared" ref="AZ50:BJ50" si="16">AZ47-AZ48</f>
        <v>#REF!</v>
      </c>
      <c r="BA50" s="3" t="e">
        <f t="shared" si="16"/>
        <v>#REF!</v>
      </c>
      <c r="BB50" s="3" t="e">
        <f t="shared" si="16"/>
        <v>#REF!</v>
      </c>
      <c r="BC50" s="3" t="e">
        <f t="shared" si="16"/>
        <v>#REF!</v>
      </c>
      <c r="BD50" s="3" t="e">
        <f t="shared" si="16"/>
        <v>#REF!</v>
      </c>
      <c r="BE50" s="3" t="e">
        <f t="shared" si="16"/>
        <v>#REF!</v>
      </c>
      <c r="BF50" s="3" t="e">
        <f t="shared" si="16"/>
        <v>#REF!</v>
      </c>
      <c r="BG50" s="3" t="e">
        <f t="shared" si="16"/>
        <v>#REF!</v>
      </c>
      <c r="BH50" s="3" t="e">
        <f t="shared" si="16"/>
        <v>#REF!</v>
      </c>
      <c r="BI50" s="3" t="e">
        <f t="shared" si="16"/>
        <v>#REF!</v>
      </c>
      <c r="BJ50" s="3" t="e">
        <f t="shared" si="16"/>
        <v>#REF!</v>
      </c>
    </row>
    <row r="51" spans="2:62" x14ac:dyDescent="0.25">
      <c r="B51" s="9" t="s">
        <v>375</v>
      </c>
      <c r="C51" s="9" t="s">
        <v>207</v>
      </c>
      <c r="D51" s="3">
        <f t="shared" si="10"/>
        <v>0.20386056739820146</v>
      </c>
      <c r="E51" s="3">
        <f t="shared" si="11"/>
        <v>157.86351248791689</v>
      </c>
      <c r="F51" s="3">
        <f t="shared" si="12"/>
        <v>7.8069079140322711E-2</v>
      </c>
      <c r="G51" s="3">
        <f t="shared" si="13"/>
        <v>204.75496585318643</v>
      </c>
      <c r="H51" s="3">
        <f t="shared" si="14"/>
        <v>12</v>
      </c>
      <c r="I51" s="121">
        <v>0.13589161984111614</v>
      </c>
      <c r="J51" s="121">
        <v>174.89875663631074</v>
      </c>
      <c r="K51" s="121">
        <v>0.22625939740360376</v>
      </c>
      <c r="L51" s="121">
        <v>103.91554747142037</v>
      </c>
      <c r="M51" s="121">
        <v>12</v>
      </c>
      <c r="N51" s="3">
        <v>0.20386056739820146</v>
      </c>
      <c r="O51" s="3">
        <v>157.86351248791689</v>
      </c>
      <c r="P51" s="3">
        <v>7.8069079140322711E-2</v>
      </c>
      <c r="Q51" s="3">
        <v>204.75496585318643</v>
      </c>
      <c r="R51" s="11">
        <v>12</v>
      </c>
      <c r="T51" s="93">
        <v>5.2947052947052944E-2</v>
      </c>
      <c r="U51" s="93">
        <v>9.42527474892264E-3</v>
      </c>
      <c r="V51" s="93">
        <v>2.2683494562407258E-2</v>
      </c>
      <c r="W51" s="93">
        <v>3.3051296786222234E-2</v>
      </c>
      <c r="X51" s="93">
        <v>5.2699999999999997E-2</v>
      </c>
      <c r="Y51" s="93">
        <v>7.1604992823388145E-3</v>
      </c>
      <c r="Z51" s="93">
        <v>2.3605374752794856E-2</v>
      </c>
      <c r="AA51" s="93">
        <v>3.2404293362448468E-2</v>
      </c>
      <c r="AB51" s="93">
        <v>5.8600000000000006E-2</v>
      </c>
      <c r="AC51" s="93">
        <v>4.8901758082958019E-3</v>
      </c>
      <c r="AD51" s="93">
        <v>3.2003483900957926E-2</v>
      </c>
      <c r="AE51" s="93">
        <v>4.4337593995215085E-2</v>
      </c>
      <c r="AF51" s="93">
        <v>6.0599999999999994E-2</v>
      </c>
      <c r="AG51" s="93">
        <v>1.4055343183468891E-2</v>
      </c>
      <c r="AH51" s="93">
        <v>3.8273002841316114E-2</v>
      </c>
      <c r="AI51" s="93">
        <v>4.90420247768516E-2</v>
      </c>
      <c r="AJ51" s="93">
        <v>8.199999999999999E-2</v>
      </c>
      <c r="AK51" s="93">
        <v>4.9119353394050061E-2</v>
      </c>
      <c r="AL51" s="93">
        <v>5.0866682170913384E-2</v>
      </c>
      <c r="AM51" s="93">
        <v>5.8050144920240937E-2</v>
      </c>
      <c r="AN51" s="93">
        <v>5.0999999999999997E-2</v>
      </c>
      <c r="AO51" s="93">
        <v>3.6187438090280249E-3</v>
      </c>
      <c r="AP51" s="93">
        <v>2.0122408756261954E-2</v>
      </c>
      <c r="AQ51" s="93">
        <v>3.6626073703495875E-2</v>
      </c>
      <c r="AR51" s="93">
        <v>6.4518353937940448E-2</v>
      </c>
      <c r="AS51" s="93">
        <v>1.9380163010717953E-2</v>
      </c>
      <c r="AT51" s="109">
        <v>4.335817081734606E-2</v>
      </c>
      <c r="AU51" s="93">
        <v>5.210890768698126E-2</v>
      </c>
    </row>
    <row r="52" spans="2:62" x14ac:dyDescent="0.25">
      <c r="B52" s="9" t="s">
        <v>376</v>
      </c>
      <c r="C52" s="9" t="s">
        <v>208</v>
      </c>
      <c r="D52" s="3">
        <f t="shared" si="10"/>
        <v>0.71391375908607302</v>
      </c>
      <c r="E52" s="3">
        <f t="shared" si="11"/>
        <v>432.33756393933504</v>
      </c>
      <c r="F52" s="3">
        <f t="shared" si="12"/>
        <v>0.24388465884929222</v>
      </c>
      <c r="G52" s="3">
        <f t="shared" si="13"/>
        <v>27.714086839655721</v>
      </c>
      <c r="H52" s="3">
        <f t="shared" si="14"/>
        <v>17</v>
      </c>
      <c r="I52" s="121">
        <v>1.1337630899787907</v>
      </c>
      <c r="J52" s="121">
        <v>436.67223262316713</v>
      </c>
      <c r="K52" s="121">
        <v>0.22829113943946294</v>
      </c>
      <c r="L52" s="121">
        <v>53.035268285493729</v>
      </c>
      <c r="M52" s="121">
        <v>55</v>
      </c>
      <c r="N52" s="3">
        <v>0.71391375908607302</v>
      </c>
      <c r="O52" s="3">
        <v>432.33756393933504</v>
      </c>
      <c r="P52" s="3">
        <v>0.24388465884929222</v>
      </c>
      <c r="Q52" s="3">
        <v>27.714086839655721</v>
      </c>
      <c r="R52" s="11">
        <v>17</v>
      </c>
      <c r="T52" s="93">
        <v>3.1968031968031968E-2</v>
      </c>
      <c r="U52" s="93">
        <v>3.7701098995690621E-4</v>
      </c>
      <c r="V52" s="93">
        <v>5.9065055093248517E-3</v>
      </c>
      <c r="W52" s="93">
        <v>9.5509450789082757E-3</v>
      </c>
      <c r="X52" s="93">
        <v>3.15E-2</v>
      </c>
      <c r="Y52" s="93">
        <v>1.2136439461591214E-4</v>
      </c>
      <c r="Z52" s="93">
        <v>2.5486522869341572E-3</v>
      </c>
      <c r="AA52" s="93">
        <v>9.345058385425228E-3</v>
      </c>
      <c r="AB52" s="93">
        <v>4.1500000000000002E-2</v>
      </c>
      <c r="AC52" s="93">
        <v>0</v>
      </c>
      <c r="AD52" s="93">
        <v>2.2820820438713744E-3</v>
      </c>
      <c r="AE52" s="93">
        <v>2.3255502732784421E-2</v>
      </c>
      <c r="AF52" s="93">
        <v>4.4900000000000002E-2</v>
      </c>
      <c r="AG52" s="93">
        <v>2.7301745752061953E-3</v>
      </c>
      <c r="AH52" s="93">
        <v>1.5824900778509867E-2</v>
      </c>
      <c r="AI52" s="93">
        <v>2.9324097289251519E-2</v>
      </c>
      <c r="AJ52" s="93">
        <v>7.6999999999999999E-2</v>
      </c>
      <c r="AK52" s="93">
        <v>4.6983729333439195E-2</v>
      </c>
      <c r="AL52" s="93">
        <v>4.7372024617186516E-2</v>
      </c>
      <c r="AM52" s="93">
        <v>5.5526225575882646E-2</v>
      </c>
      <c r="AN52" s="93">
        <v>2.87E-2</v>
      </c>
      <c r="AO52" s="93">
        <v>0</v>
      </c>
      <c r="AP52" s="93">
        <v>1.0965890330387958E-4</v>
      </c>
      <c r="AQ52" s="93">
        <v>2.9607903892047488E-3</v>
      </c>
      <c r="AR52" s="93">
        <v>4.9124960697184132E-2</v>
      </c>
      <c r="AS52" s="93">
        <v>6.3282164932956892E-3</v>
      </c>
      <c r="AT52" s="109">
        <v>2.4076886189335747E-2</v>
      </c>
      <c r="AU52" s="93">
        <v>3.559621777478799E-2</v>
      </c>
    </row>
    <row r="53" spans="2:62" x14ac:dyDescent="0.25">
      <c r="B53" s="9" t="s">
        <v>377</v>
      </c>
      <c r="C53" s="9" t="s">
        <v>209</v>
      </c>
      <c r="D53" s="3">
        <f t="shared" si="10"/>
        <v>0.53098097752395446</v>
      </c>
      <c r="E53" s="3">
        <f t="shared" si="11"/>
        <v>185.94315150047817</v>
      </c>
      <c r="F53" s="3">
        <f t="shared" si="12"/>
        <v>4.7028238784190476E-2</v>
      </c>
      <c r="G53" s="3">
        <f t="shared" si="13"/>
        <v>54.71153748848635</v>
      </c>
      <c r="H53" s="3">
        <f t="shared" si="14"/>
        <v>23</v>
      </c>
      <c r="I53" s="121">
        <v>1.2634083932942237</v>
      </c>
      <c r="J53" s="121">
        <v>218.3154125105516</v>
      </c>
      <c r="K53" s="121">
        <v>0.20721169727905017</v>
      </c>
      <c r="L53" s="121">
        <v>30.197919672184412</v>
      </c>
      <c r="M53" s="121">
        <v>55</v>
      </c>
      <c r="N53" s="3">
        <v>0.53098097752395446</v>
      </c>
      <c r="O53" s="3">
        <v>185.94315150047817</v>
      </c>
      <c r="P53" s="3">
        <v>4.7028238784190476E-2</v>
      </c>
      <c r="Q53" s="3">
        <v>54.71153748848635</v>
      </c>
      <c r="R53" s="11">
        <v>23</v>
      </c>
      <c r="T53" s="93">
        <v>2.097902097902098E-2</v>
      </c>
      <c r="U53" s="93">
        <v>0</v>
      </c>
      <c r="V53" s="93">
        <v>0</v>
      </c>
      <c r="W53" s="93">
        <v>3.6444395695834284E-3</v>
      </c>
      <c r="X53" s="93">
        <v>2.0099999999999996E-2</v>
      </c>
      <c r="Y53" s="93">
        <v>0</v>
      </c>
      <c r="Z53" s="93">
        <v>0</v>
      </c>
      <c r="AA53" s="93">
        <v>0</v>
      </c>
      <c r="AB53" s="93">
        <v>3.2300000000000002E-2</v>
      </c>
      <c r="AC53" s="93">
        <v>0</v>
      </c>
      <c r="AD53" s="93">
        <v>0</v>
      </c>
      <c r="AE53" s="93">
        <v>0</v>
      </c>
      <c r="AF53" s="93">
        <v>3.6400000000000002E-2</v>
      </c>
      <c r="AG53" s="93">
        <v>0</v>
      </c>
      <c r="AH53" s="93">
        <v>4.9547612661149472E-3</v>
      </c>
      <c r="AI53" s="93">
        <v>1.5470989259501716E-2</v>
      </c>
      <c r="AJ53" s="93">
        <v>6.3E-2</v>
      </c>
      <c r="AK53" s="93">
        <v>3.2616803834784304E-2</v>
      </c>
      <c r="AL53" s="93">
        <v>4.4848105272828225E-2</v>
      </c>
      <c r="AM53" s="93">
        <v>4.8925205752176341E-2</v>
      </c>
      <c r="AN53" s="93">
        <v>1.67E-2</v>
      </c>
      <c r="AO53" s="93">
        <v>0</v>
      </c>
      <c r="AP53" s="93">
        <v>0</v>
      </c>
      <c r="AQ53" s="93">
        <v>0</v>
      </c>
      <c r="AR53" s="93">
        <v>3.6788428830619592E-2</v>
      </c>
      <c r="AS53" s="93">
        <v>0</v>
      </c>
      <c r="AT53" s="109">
        <v>5.5371894316337249E-3</v>
      </c>
      <c r="AU53" s="93">
        <v>1.7105960208439838E-2</v>
      </c>
    </row>
    <row r="54" spans="2:62" x14ac:dyDescent="0.25">
      <c r="B54" s="9" t="s">
        <v>378</v>
      </c>
      <c r="C54" s="9" t="s">
        <v>210</v>
      </c>
      <c r="D54" s="3">
        <f t="shared" si="10"/>
        <v>0.84200301773635045</v>
      </c>
      <c r="E54" s="3">
        <f t="shared" si="11"/>
        <v>111.97890589456108</v>
      </c>
      <c r="F54" s="3">
        <f t="shared" si="12"/>
        <v>0.18412999999999999</v>
      </c>
      <c r="G54" s="3">
        <f t="shared" si="13"/>
        <v>23.349</v>
      </c>
      <c r="H54" s="3">
        <f t="shared" si="14"/>
        <v>22</v>
      </c>
      <c r="I54" s="121">
        <v>0.7190160380023275</v>
      </c>
      <c r="J54" s="121">
        <v>339.97730075764605</v>
      </c>
      <c r="K54" s="121">
        <v>0.20200284139406025</v>
      </c>
      <c r="L54" s="121">
        <v>11.923461592885189</v>
      </c>
      <c r="M54" s="121">
        <v>56</v>
      </c>
      <c r="N54" s="3">
        <v>0.84200301773635045</v>
      </c>
      <c r="O54" s="3">
        <v>111.97890589456108</v>
      </c>
      <c r="P54" s="3">
        <v>0.18412999999999999</v>
      </c>
      <c r="Q54" s="3">
        <v>23.349</v>
      </c>
      <c r="R54" s="11">
        <v>22</v>
      </c>
      <c r="T54" s="93">
        <v>2.097902097902098E-2</v>
      </c>
      <c r="U54" s="93">
        <v>0</v>
      </c>
      <c r="V54" s="93">
        <v>0</v>
      </c>
      <c r="W54" s="93">
        <v>2.8904175896696154E-3</v>
      </c>
      <c r="X54" s="93">
        <v>1.9799999999999998E-2</v>
      </c>
      <c r="Y54" s="93">
        <v>0</v>
      </c>
      <c r="Z54" s="93">
        <v>0</v>
      </c>
      <c r="AA54" s="93">
        <v>1.2136439461591214E-4</v>
      </c>
      <c r="AB54" s="93">
        <v>3.2000000000000001E-2</v>
      </c>
      <c r="AC54" s="93">
        <v>0</v>
      </c>
      <c r="AD54" s="93">
        <v>0</v>
      </c>
      <c r="AE54" s="93">
        <v>3.2601172055305371E-4</v>
      </c>
      <c r="AF54" s="93">
        <v>3.6200000000000003E-2</v>
      </c>
      <c r="AG54" s="93">
        <v>0</v>
      </c>
      <c r="AH54" s="93">
        <v>5.3086727851231561E-3</v>
      </c>
      <c r="AI54" s="93">
        <v>1.5774341990080178E-2</v>
      </c>
      <c r="AJ54" s="93">
        <v>6.2E-2</v>
      </c>
      <c r="AK54" s="93">
        <v>1.7861583052381953E-2</v>
      </c>
      <c r="AL54" s="93">
        <v>4.727495079624966E-2</v>
      </c>
      <c r="AM54" s="93">
        <v>5.3584749157145499E-2</v>
      </c>
      <c r="AN54" s="93">
        <v>1.6399999999999998E-2</v>
      </c>
      <c r="AO54" s="93">
        <v>0</v>
      </c>
      <c r="AP54" s="93">
        <v>0</v>
      </c>
      <c r="AQ54" s="93">
        <v>0</v>
      </c>
      <c r="AR54" s="93">
        <v>4.2794402295666334E-2</v>
      </c>
      <c r="AS54" s="93">
        <v>1.186540592492941E-3</v>
      </c>
      <c r="AT54" s="109">
        <v>1.2112601881698708E-2</v>
      </c>
      <c r="AU54" s="93">
        <v>2.5510622738598089E-2</v>
      </c>
    </row>
    <row r="55" spans="2:62" x14ac:dyDescent="0.25">
      <c r="B55" s="9" t="s">
        <v>369</v>
      </c>
      <c r="C55" s="9" t="s">
        <v>211</v>
      </c>
      <c r="D55" s="3">
        <f t="shared" si="10"/>
        <v>19.274000000000001</v>
      </c>
      <c r="E55" s="3">
        <f>IF($C$1=1,O55,J55)</f>
        <v>207.33</v>
      </c>
      <c r="F55" s="3">
        <f t="shared" si="12"/>
        <v>10.675000000000001</v>
      </c>
      <c r="G55" s="3">
        <f t="shared" si="13"/>
        <v>231.60599999999999</v>
      </c>
      <c r="H55" s="3">
        <f t="shared" si="14"/>
        <v>15</v>
      </c>
      <c r="I55" s="3">
        <v>19.274000000000001</v>
      </c>
      <c r="J55" s="3">
        <v>207.33</v>
      </c>
      <c r="K55" s="3">
        <v>10.675000000000001</v>
      </c>
      <c r="L55" s="3">
        <v>231.60599999999999</v>
      </c>
      <c r="M55" s="121">
        <v>62</v>
      </c>
      <c r="N55" s="3">
        <v>19.274000000000001</v>
      </c>
      <c r="O55" s="3">
        <v>207.33</v>
      </c>
      <c r="P55" s="3">
        <v>10.675000000000001</v>
      </c>
      <c r="Q55" s="3">
        <v>231.60599999999999</v>
      </c>
      <c r="R55" s="11">
        <v>15</v>
      </c>
      <c r="T55" s="93">
        <v>3.796203796203796E-2</v>
      </c>
      <c r="U55" s="93">
        <v>2.0107252797701672E-3</v>
      </c>
      <c r="V55" s="93">
        <v>8.9225934289800905E-3</v>
      </c>
      <c r="W55" s="93">
        <v>1.9478901147773432E-2</v>
      </c>
      <c r="X55" s="93">
        <v>3.6900000000000002E-2</v>
      </c>
      <c r="Y55" s="93">
        <v>0</v>
      </c>
      <c r="Z55" s="93">
        <v>6.2502663227194675E-3</v>
      </c>
      <c r="AA55" s="93">
        <v>1.4563727353909435E-2</v>
      </c>
      <c r="AB55" s="93">
        <v>4.58E-2</v>
      </c>
      <c r="AC55" s="93">
        <v>0</v>
      </c>
      <c r="AD55" s="93">
        <v>8.3132988741028545E-3</v>
      </c>
      <c r="AE55" s="93">
        <v>3.0101748864398502E-2</v>
      </c>
      <c r="AF55" s="93">
        <v>4.8899999999999999E-2</v>
      </c>
      <c r="AG55" s="93">
        <v>5.4603491504123906E-3</v>
      </c>
      <c r="AH55" s="93">
        <v>2.2802013581814513E-2</v>
      </c>
      <c r="AI55" s="93">
        <v>3.4076623401647438E-2</v>
      </c>
      <c r="AJ55" s="93">
        <v>6.6000000000000003E-2</v>
      </c>
      <c r="AK55" s="93">
        <v>4.0771004793480323E-2</v>
      </c>
      <c r="AL55" s="93">
        <v>4.4848105272828225E-2</v>
      </c>
      <c r="AM55" s="93">
        <v>5.3002306231524354E-2</v>
      </c>
      <c r="AN55" s="93">
        <v>3.44E-2</v>
      </c>
      <c r="AO55" s="93">
        <v>0</v>
      </c>
      <c r="AP55" s="93">
        <v>0</v>
      </c>
      <c r="AQ55" s="93">
        <v>1.0417595813868573E-2</v>
      </c>
      <c r="AR55" s="93">
        <v>4.1989590549339796E-2</v>
      </c>
      <c r="AS55" s="93">
        <v>1.5820541233239208E-3</v>
      </c>
      <c r="AT55" s="109">
        <v>1.2804750560652917E-2</v>
      </c>
      <c r="AU55" s="93">
        <v>2.5906136269429066E-2</v>
      </c>
    </row>
    <row r="56" spans="2:62" x14ac:dyDescent="0.25">
      <c r="B56" s="9" t="s">
        <v>385</v>
      </c>
      <c r="C56" s="9" t="s">
        <v>351</v>
      </c>
      <c r="D56" s="3">
        <f t="shared" si="10"/>
        <v>5.2054468288555338</v>
      </c>
      <c r="E56" s="3">
        <f t="shared" si="11"/>
        <v>359.41018394753303</v>
      </c>
      <c r="F56" s="3">
        <f t="shared" si="12"/>
        <v>1.150681420508064</v>
      </c>
      <c r="G56" s="3">
        <f t="shared" si="13"/>
        <v>92.863971476160685</v>
      </c>
      <c r="H56" s="3">
        <f t="shared" si="14"/>
        <v>24</v>
      </c>
      <c r="I56" s="121">
        <v>8.5123075692494705</v>
      </c>
      <c r="J56" s="121">
        <v>98.289871663694043</v>
      </c>
      <c r="K56" s="121">
        <v>2.7689616031187558</v>
      </c>
      <c r="L56" s="121">
        <v>4.1978471529232309</v>
      </c>
      <c r="M56" s="121">
        <v>107</v>
      </c>
      <c r="N56" s="3">
        <v>5.2054468288555338</v>
      </c>
      <c r="O56" s="3">
        <v>359.41018394753303</v>
      </c>
      <c r="P56" s="3">
        <v>1.150681420508064</v>
      </c>
      <c r="Q56" s="3">
        <v>92.863971476160685</v>
      </c>
      <c r="R56" s="11">
        <v>24</v>
      </c>
      <c r="T56" s="93">
        <v>7.1928071928071921E-2</v>
      </c>
      <c r="U56" s="93">
        <v>2.0484263787658514E-2</v>
      </c>
      <c r="V56" s="93">
        <v>4.2602241865130154E-2</v>
      </c>
      <c r="W56" s="93">
        <v>5.2027516614053047E-2</v>
      </c>
      <c r="X56" s="93">
        <v>7.1399999999999991E-2</v>
      </c>
      <c r="Y56" s="93">
        <v>2.5607887263957411E-2</v>
      </c>
      <c r="Z56" s="93">
        <v>4.2174127129029459E-2</v>
      </c>
      <c r="AA56" s="93">
        <v>5.3157604841769387E-2</v>
      </c>
      <c r="AB56" s="93">
        <v>7.3700000000000002E-2</v>
      </c>
      <c r="AC56" s="93">
        <v>2.3798855600372839E-2</v>
      </c>
      <c r="AD56" s="93">
        <v>6.0909856456661818E-2</v>
      </c>
      <c r="AE56" s="93">
        <v>6.4767661816539646E-2</v>
      </c>
      <c r="AF56" s="93">
        <v>7.4499999999999997E-2</v>
      </c>
      <c r="AG56" s="93">
        <v>3.1548683980160246E-2</v>
      </c>
      <c r="AH56" s="93">
        <v>5.6979754560321325E-2</v>
      </c>
      <c r="AI56" s="93">
        <v>6.3704073421477311E-2</v>
      </c>
      <c r="AJ56" s="93">
        <v>8.5999999999999993E-2</v>
      </c>
      <c r="AK56" s="93">
        <v>4.6983729333439195E-2</v>
      </c>
      <c r="AL56" s="93">
        <v>5.1643272738408241E-2</v>
      </c>
      <c r="AM56" s="93">
        <v>5.5526225575882646E-2</v>
      </c>
      <c r="AN56" s="93">
        <v>7.0800000000000002E-2</v>
      </c>
      <c r="AO56" s="93">
        <v>2.675677240614668E-2</v>
      </c>
      <c r="AP56" s="93">
        <v>5.4719792748636066E-2</v>
      </c>
      <c r="AQ56" s="93">
        <v>5.9873761203918414E-2</v>
      </c>
      <c r="AR56" s="93">
        <v>5.5319317454964968E-2</v>
      </c>
      <c r="AS56" s="93">
        <v>8.8990544436970652E-3</v>
      </c>
      <c r="AT56" s="109">
        <v>3.198715680595527E-2</v>
      </c>
      <c r="AU56" s="93">
        <v>4.2418826181622335E-2</v>
      </c>
    </row>
    <row r="57" spans="2:62" x14ac:dyDescent="0.25">
      <c r="B57" s="9" t="s">
        <v>379</v>
      </c>
      <c r="C57" s="9" t="s">
        <v>212</v>
      </c>
      <c r="D57" s="3">
        <f t="shared" si="10"/>
        <v>1.2725725409740118</v>
      </c>
      <c r="E57" s="3">
        <f t="shared" si="11"/>
        <v>2190.20494235659</v>
      </c>
      <c r="F57" s="3">
        <f t="shared" si="12"/>
        <v>1.1578227545183279</v>
      </c>
      <c r="G57" s="3">
        <f t="shared" si="13"/>
        <v>-12.378710398777457</v>
      </c>
      <c r="H57" s="3">
        <f t="shared" si="14"/>
        <v>6</v>
      </c>
      <c r="I57" s="121">
        <v>2.2710941035676822</v>
      </c>
      <c r="J57" s="121">
        <v>297.96548644276095</v>
      </c>
      <c r="K57" s="3">
        <v>1.1578227545183279</v>
      </c>
      <c r="L57" s="12">
        <v>-12.378710398777457</v>
      </c>
      <c r="M57" s="121">
        <v>29</v>
      </c>
      <c r="N57" s="3">
        <v>1.2725725409740118</v>
      </c>
      <c r="O57" s="3">
        <v>2190.20494235659</v>
      </c>
      <c r="P57" s="3">
        <v>1.1578227545183279</v>
      </c>
      <c r="Q57" s="3">
        <v>-12.378710398777457</v>
      </c>
      <c r="R57" s="3">
        <v>6</v>
      </c>
      <c r="T57" s="93">
        <v>0.11588411588411587</v>
      </c>
      <c r="U57" s="93">
        <v>5.818536278334905E-2</v>
      </c>
      <c r="V57" s="93">
        <v>6.993553863700723E-2</v>
      </c>
      <c r="W57" s="93">
        <v>7.4648176011466921E-2</v>
      </c>
      <c r="X57" s="93">
        <v>0.1164</v>
      </c>
      <c r="Y57" s="93">
        <v>5.7769451837174038E-2</v>
      </c>
      <c r="Z57" s="93">
        <v>7.306136555878133E-2</v>
      </c>
      <c r="AA57" s="93">
        <v>7.6338204213408548E-2</v>
      </c>
      <c r="AB57" s="93">
        <v>0.11</v>
      </c>
      <c r="AC57" s="93">
        <v>7.4113331139060448E-2</v>
      </c>
      <c r="AD57" s="93">
        <v>7.7590789491626289E-2</v>
      </c>
      <c r="AE57" s="93">
        <v>7.8242812932732428E-2</v>
      </c>
      <c r="AF57" s="93">
        <v>0.10779999999999999</v>
      </c>
      <c r="AG57" s="93">
        <v>6.5625307381807566E-2</v>
      </c>
      <c r="AH57" s="93">
        <v>7.1591244416517277E-2</v>
      </c>
      <c r="AI57" s="93">
        <v>7.1894597147095798E-2</v>
      </c>
      <c r="AJ57" s="93">
        <v>9.6999999999999989E-2</v>
      </c>
      <c r="AK57" s="93">
        <v>4.6983729333439195E-2</v>
      </c>
      <c r="AL57" s="93">
        <v>5.5526225575882535E-2</v>
      </c>
      <c r="AM57" s="93">
        <v>5.5526225575882646E-2</v>
      </c>
      <c r="AN57" s="93">
        <v>0.1182</v>
      </c>
      <c r="AO57" s="93">
        <v>6.5356706369112408E-2</v>
      </c>
      <c r="AP57" s="93">
        <v>7.3361806310295652E-2</v>
      </c>
      <c r="AQ57" s="93">
        <v>7.5664643279677118E-2</v>
      </c>
      <c r="AR57" s="93">
        <v>0.1009840095716293</v>
      </c>
      <c r="AS57" s="93">
        <v>6.1700110809632433E-2</v>
      </c>
      <c r="AT57" s="109">
        <v>6.9214867895423526E-2</v>
      </c>
      <c r="AU57" s="93">
        <v>7.000589495708294E-2</v>
      </c>
    </row>
    <row r="58" spans="2:62" x14ac:dyDescent="0.25">
      <c r="B58" s="9" t="s">
        <v>380</v>
      </c>
      <c r="C58" s="9" t="s">
        <v>353</v>
      </c>
      <c r="D58" s="3">
        <f t="shared" si="10"/>
        <v>0.19180835837090646</v>
      </c>
      <c r="E58" s="3">
        <f t="shared" si="11"/>
        <v>37.73279393174596</v>
      </c>
      <c r="F58" s="3">
        <f t="shared" si="12"/>
        <v>4.5474377382190248E-2</v>
      </c>
      <c r="G58" s="3">
        <f t="shared" si="13"/>
        <v>50.175751629024518</v>
      </c>
      <c r="H58" s="3">
        <f t="shared" si="14"/>
        <v>0</v>
      </c>
      <c r="I58" s="121">
        <v>0.19180835837090646</v>
      </c>
      <c r="J58" s="121">
        <v>37.73279393174596</v>
      </c>
      <c r="K58" s="121">
        <v>4.5474377382190248E-2</v>
      </c>
      <c r="L58" s="121">
        <v>50.175751629024518</v>
      </c>
      <c r="M58" s="121">
        <v>16</v>
      </c>
      <c r="N58" s="3">
        <f t="shared" ref="N58:Q59" si="17">I58</f>
        <v>0.19180835837090646</v>
      </c>
      <c r="O58" s="3">
        <f t="shared" si="17"/>
        <v>37.73279393174596</v>
      </c>
      <c r="P58" s="3">
        <f t="shared" si="17"/>
        <v>4.5474377382190248E-2</v>
      </c>
      <c r="Q58" s="3">
        <f t="shared" si="17"/>
        <v>50.175751629024518</v>
      </c>
      <c r="R58" s="49"/>
      <c r="T58" s="93">
        <v>0.14385614385614384</v>
      </c>
      <c r="U58" s="93">
        <v>6.4971560602573211E-2</v>
      </c>
      <c r="V58" s="93">
        <v>7.5527868321368291E-2</v>
      </c>
      <c r="W58" s="93">
        <v>8.0806022180762924E-2</v>
      </c>
      <c r="X58" s="93">
        <v>0.14529999999999998</v>
      </c>
      <c r="Y58" s="93">
        <v>7.0027255693381127E-2</v>
      </c>
      <c r="Z58" s="93">
        <v>8.0585958024968415E-2</v>
      </c>
      <c r="AA58" s="93">
        <v>8.301324591728379E-2</v>
      </c>
      <c r="AB58" s="93">
        <v>0.1333</v>
      </c>
      <c r="AC58" s="93">
        <v>8.0090212682533052E-2</v>
      </c>
      <c r="AD58" s="93">
        <v>8.0850906697156791E-2</v>
      </c>
      <c r="AE58" s="93">
        <v>8.0850906697156846E-2</v>
      </c>
      <c r="AF58" s="93">
        <v>0.1293</v>
      </c>
      <c r="AG58" s="93">
        <v>7.2804655338831195E-2</v>
      </c>
      <c r="AH58" s="93">
        <v>7.4978683241310115E-2</v>
      </c>
      <c r="AI58" s="93">
        <v>7.5231477183458892E-2</v>
      </c>
      <c r="AJ58" s="93">
        <v>0.10400000000000001</v>
      </c>
      <c r="AK58" s="93">
        <v>4.4848105272828336E-2</v>
      </c>
      <c r="AL58" s="93">
        <v>5.3002306231524243E-2</v>
      </c>
      <c r="AM58" s="93">
        <v>5.3002306231524354E-2</v>
      </c>
      <c r="AN58" s="93">
        <v>0.14859999999999998</v>
      </c>
      <c r="AO58" s="93">
        <v>7.4348736440030566E-2</v>
      </c>
      <c r="AP58" s="93">
        <v>7.9283387088705165E-2</v>
      </c>
      <c r="AQ58" s="93">
        <v>8.0270317218440079E-2</v>
      </c>
      <c r="AR58" s="93">
        <v>0.10649408293641681</v>
      </c>
      <c r="AS58" s="93">
        <v>6.3084408167540851E-2</v>
      </c>
      <c r="AT58" s="109">
        <v>7.1142996358224714E-2</v>
      </c>
      <c r="AU58" s="93">
        <v>7.2378976142068799E-2</v>
      </c>
    </row>
    <row r="59" spans="2:62" x14ac:dyDescent="0.25">
      <c r="B59" s="9" t="s">
        <v>381</v>
      </c>
      <c r="C59" s="9" t="s">
        <v>352</v>
      </c>
      <c r="D59" s="3">
        <f t="shared" si="10"/>
        <v>0.10808023085880325</v>
      </c>
      <c r="E59" s="3">
        <f t="shared" si="11"/>
        <v>102.2516017685644</v>
      </c>
      <c r="F59" s="3">
        <f t="shared" si="12"/>
        <v>3.5396642978842867E-2</v>
      </c>
      <c r="G59" s="3">
        <f t="shared" si="13"/>
        <v>4.2479108614960523</v>
      </c>
      <c r="H59" s="3">
        <f t="shared" si="14"/>
        <v>0</v>
      </c>
      <c r="I59" s="121">
        <v>0.10808023085880325</v>
      </c>
      <c r="J59" s="121">
        <v>102.2516017685644</v>
      </c>
      <c r="K59" s="121">
        <v>3.5396642978842867E-2</v>
      </c>
      <c r="L59" s="121">
        <v>4.2479108614960523</v>
      </c>
      <c r="M59" s="121">
        <v>25</v>
      </c>
      <c r="N59" s="3">
        <f t="shared" si="17"/>
        <v>0.10808023085880325</v>
      </c>
      <c r="O59" s="3">
        <f t="shared" si="17"/>
        <v>102.2516017685644</v>
      </c>
      <c r="P59" s="3">
        <f t="shared" si="17"/>
        <v>3.5396642978842867E-2</v>
      </c>
      <c r="Q59" s="3">
        <f t="shared" si="17"/>
        <v>4.2479108614960523</v>
      </c>
      <c r="R59" s="3">
        <v>0</v>
      </c>
    </row>
    <row r="60" spans="2:62" x14ac:dyDescent="0.25">
      <c r="B60" s="9" t="s">
        <v>279</v>
      </c>
      <c r="C60" s="9" t="s">
        <v>279</v>
      </c>
      <c r="E60" s="3">
        <v>9174.4062971671901</v>
      </c>
      <c r="G60" s="3">
        <v>2758.4327086882463</v>
      </c>
      <c r="H60" s="11"/>
      <c r="R60" s="11"/>
      <c r="T60" s="93"/>
      <c r="U60" s="93"/>
      <c r="V60" s="93"/>
      <c r="W60" s="93"/>
      <c r="X60" s="93"/>
      <c r="Y60" s="93"/>
      <c r="Z60" s="93"/>
      <c r="AA60" s="93"/>
      <c r="AB60" s="93"/>
      <c r="AC60" s="93"/>
      <c r="AD60" s="93"/>
      <c r="AE60" s="93"/>
      <c r="AF60" s="93"/>
      <c r="AG60" s="93"/>
      <c r="AH60" s="93"/>
      <c r="AI60" s="93"/>
      <c r="AJ60" s="93"/>
      <c r="AK60" s="93"/>
      <c r="AL60" s="93"/>
      <c r="AM60" s="93"/>
      <c r="AN60" s="93"/>
      <c r="AO60" s="93"/>
      <c r="AP60" s="93"/>
      <c r="AQ60" s="93"/>
      <c r="AR60" s="93"/>
      <c r="AS60" s="93"/>
      <c r="AT60" s="109"/>
      <c r="AU60" s="93"/>
    </row>
    <row r="61" spans="2:62" x14ac:dyDescent="0.25">
      <c r="B61" s="8" t="s">
        <v>213</v>
      </c>
      <c r="C61" s="4"/>
      <c r="E61" s="3">
        <v>18718.298562229411</v>
      </c>
      <c r="G61" s="3">
        <v>3103.8364565587744</v>
      </c>
      <c r="I61" s="127" t="s">
        <v>390</v>
      </c>
      <c r="J61" s="8"/>
      <c r="K61" s="12"/>
      <c r="L61" s="8"/>
      <c r="M61" s="12"/>
    </row>
    <row r="62" spans="2:62" x14ac:dyDescent="0.25">
      <c r="B62" s="3" t="s">
        <v>214</v>
      </c>
      <c r="E62" s="3">
        <v>28778.076895673377</v>
      </c>
      <c r="G62" s="3">
        <v>3449.240204429303</v>
      </c>
      <c r="I62" s="8" t="s">
        <v>219</v>
      </c>
      <c r="J62" s="8"/>
      <c r="K62" s="8"/>
      <c r="L62" s="99" t="s">
        <v>225</v>
      </c>
      <c r="M62" s="12"/>
    </row>
    <row r="63" spans="2:62" x14ac:dyDescent="0.25">
      <c r="B63" s="3" t="s">
        <v>214</v>
      </c>
      <c r="E63" s="3">
        <v>33379.222910969998</v>
      </c>
      <c r="G63" s="3">
        <v>3805.1107325383318</v>
      </c>
      <c r="I63" s="12"/>
      <c r="J63" s="12" t="s">
        <v>220</v>
      </c>
      <c r="K63" s="76">
        <f>INDEX(LINEST(J66:J71,LN(I66:I71)),1)</f>
        <v>-0.93565839465444822</v>
      </c>
      <c r="L63" s="12"/>
      <c r="M63" s="12" t="s">
        <v>220</v>
      </c>
      <c r="N63" s="76">
        <f>INDEX(LINEST(M66:M70,LN(L66:L70)),1)</f>
        <v>-0.23064990618588499</v>
      </c>
    </row>
    <row r="64" spans="2:62" x14ac:dyDescent="0.25">
      <c r="B64" s="3" t="s">
        <v>214</v>
      </c>
      <c r="I64" s="12"/>
      <c r="J64" s="12" t="s">
        <v>221</v>
      </c>
      <c r="K64" s="76">
        <f>INDEX(LINEST(J66:J71,LN(I66:I71)),2)</f>
        <v>25.282928351715128</v>
      </c>
      <c r="L64" s="12"/>
      <c r="M64" s="12" t="s">
        <v>221</v>
      </c>
      <c r="N64" s="76">
        <f>INDEX(LINEST(M66:M70,LN(L66:L70)),2)</f>
        <v>7.5306259629562122</v>
      </c>
    </row>
    <row r="65" spans="2:27" x14ac:dyDescent="0.25">
      <c r="B65" s="3" t="s">
        <v>214</v>
      </c>
      <c r="I65" s="8" t="s">
        <v>222</v>
      </c>
      <c r="J65" s="8" t="s">
        <v>223</v>
      </c>
      <c r="K65" s="8" t="s">
        <v>224</v>
      </c>
      <c r="L65" s="8" t="s">
        <v>222</v>
      </c>
      <c r="M65" s="8" t="s">
        <v>223</v>
      </c>
      <c r="N65" s="8" t="s">
        <v>224</v>
      </c>
    </row>
    <row r="66" spans="2:27" x14ac:dyDescent="0.25">
      <c r="B66" s="3" t="s">
        <v>214</v>
      </c>
      <c r="I66" s="12">
        <v>20000</v>
      </c>
      <c r="J66" s="12">
        <v>16.707000000000001</v>
      </c>
      <c r="K66" s="76">
        <f t="shared" ref="K66:K71" si="18">$K$63*LN(I66)+$K$64</f>
        <v>16.016647086828865</v>
      </c>
      <c r="L66" s="12">
        <v>60000</v>
      </c>
      <c r="M66" s="12">
        <v>5.141</v>
      </c>
      <c r="N66" s="76">
        <f>$N$63*LN(L66)+$N$64</f>
        <v>4.9929926667347146</v>
      </c>
    </row>
    <row r="67" spans="2:27" x14ac:dyDescent="0.25">
      <c r="B67" s="3" t="s">
        <v>214</v>
      </c>
      <c r="I67" s="12">
        <v>70000</v>
      </c>
      <c r="J67" s="12">
        <v>14.462999999999999</v>
      </c>
      <c r="K67" s="76">
        <f t="shared" si="18"/>
        <v>14.844488898843947</v>
      </c>
      <c r="L67" s="12">
        <v>310000</v>
      </c>
      <c r="M67" s="12">
        <v>4.4509999999999996</v>
      </c>
      <c r="N67" s="76">
        <f>$N$63*LN(L67)+$N$64</f>
        <v>4.6142129936618081</v>
      </c>
    </row>
    <row r="68" spans="2:27" x14ac:dyDescent="0.25">
      <c r="B68" s="3" t="s">
        <v>214</v>
      </c>
      <c r="I68" s="12">
        <v>400000</v>
      </c>
      <c r="J68" s="12">
        <v>12.8</v>
      </c>
      <c r="K68" s="76">
        <f t="shared" si="18"/>
        <v>13.213665036940816</v>
      </c>
      <c r="L68" s="12">
        <v>2750000</v>
      </c>
      <c r="M68" s="12">
        <v>4.12</v>
      </c>
      <c r="N68" s="76">
        <f>$N$63*LN(L68)+$N$64</f>
        <v>4.1107540934754514</v>
      </c>
    </row>
    <row r="69" spans="2:27" x14ac:dyDescent="0.25">
      <c r="B69" s="3" t="s">
        <v>214</v>
      </c>
      <c r="I69" s="12">
        <v>1150000</v>
      </c>
      <c r="J69" s="12">
        <v>11.795999999999999</v>
      </c>
      <c r="K69" s="76">
        <f t="shared" si="18"/>
        <v>12.225560487082166</v>
      </c>
      <c r="L69" s="12">
        <v>27500000</v>
      </c>
      <c r="M69" s="12">
        <v>3.47</v>
      </c>
      <c r="N69" s="76">
        <f>$N$63*LN(L69)+$N$64</f>
        <v>3.579663057791358</v>
      </c>
    </row>
    <row r="70" spans="2:27" x14ac:dyDescent="0.25">
      <c r="B70" s="3" t="s">
        <v>214</v>
      </c>
      <c r="I70" s="12">
        <v>3800000</v>
      </c>
      <c r="J70" s="12">
        <v>11.11</v>
      </c>
      <c r="K70" s="76">
        <f t="shared" si="18"/>
        <v>11.107224966757938</v>
      </c>
      <c r="L70" s="12">
        <v>150000000</v>
      </c>
      <c r="M70" s="12">
        <v>3.3039999999999998</v>
      </c>
      <c r="N70" s="76">
        <f>$N$63*LN(L70)+$N$64</f>
        <v>3.1883771883366627</v>
      </c>
      <c r="V70" s="12"/>
      <c r="W70" s="12"/>
      <c r="X70" s="12"/>
      <c r="Y70" s="12"/>
      <c r="Z70" s="12"/>
      <c r="AA70" s="12"/>
    </row>
    <row r="71" spans="2:27" x14ac:dyDescent="0.25">
      <c r="B71" s="3" t="s">
        <v>215</v>
      </c>
      <c r="I71" s="12">
        <v>13000000</v>
      </c>
      <c r="J71" s="12">
        <v>10.488</v>
      </c>
      <c r="K71" s="76">
        <f t="shared" si="18"/>
        <v>9.9564135235462761</v>
      </c>
      <c r="L71" s="12"/>
      <c r="M71" s="12"/>
      <c r="N71" s="12"/>
    </row>
    <row r="72" spans="2:27" x14ac:dyDescent="0.25">
      <c r="B72" s="3" t="s">
        <v>215</v>
      </c>
      <c r="I72" s="12" t="s">
        <v>391</v>
      </c>
      <c r="J72" s="12"/>
      <c r="K72" s="12"/>
      <c r="L72" s="12" t="s">
        <v>391</v>
      </c>
      <c r="M72" s="12"/>
      <c r="N72" s="12"/>
    </row>
    <row r="73" spans="2:27" x14ac:dyDescent="0.25">
      <c r="B73" s="3" t="s">
        <v>215</v>
      </c>
      <c r="I73" s="12"/>
      <c r="J73" s="12"/>
      <c r="K73" s="12"/>
      <c r="L73" s="12"/>
      <c r="M73" s="12"/>
      <c r="N73" s="12"/>
    </row>
    <row r="74" spans="2:27" x14ac:dyDescent="0.25">
      <c r="B74" s="3" t="s">
        <v>216</v>
      </c>
      <c r="I74" s="12"/>
      <c r="J74" s="12"/>
      <c r="K74" s="12"/>
      <c r="L74" s="12"/>
      <c r="M74" s="12"/>
      <c r="N74" s="12"/>
    </row>
    <row r="75" spans="2:27" x14ac:dyDescent="0.25">
      <c r="B75" s="3" t="s">
        <v>216</v>
      </c>
    </row>
    <row r="76" spans="2:27" x14ac:dyDescent="0.25">
      <c r="B76" s="3" t="s">
        <v>280</v>
      </c>
      <c r="G76" s="12"/>
      <c r="H76" s="12"/>
      <c r="I76" s="12"/>
      <c r="J76" s="12"/>
      <c r="K76" s="12"/>
      <c r="L76" s="12"/>
      <c r="V76" s="12"/>
      <c r="W76" s="12"/>
      <c r="X76" s="12"/>
      <c r="Y76" s="12"/>
      <c r="Z76" s="12"/>
      <c r="AA76" s="12"/>
    </row>
    <row r="77" spans="2:27" x14ac:dyDescent="0.25">
      <c r="B77" s="3" t="s">
        <v>214</v>
      </c>
      <c r="V77" s="12"/>
      <c r="W77" s="12"/>
      <c r="X77" s="12"/>
      <c r="Y77" s="12"/>
      <c r="Z77" s="12"/>
      <c r="AA77" s="12"/>
    </row>
    <row r="78" spans="2:27" x14ac:dyDescent="0.25">
      <c r="B78" s="3" t="s">
        <v>214</v>
      </c>
      <c r="V78" s="12"/>
      <c r="W78" s="12"/>
      <c r="X78" s="12"/>
      <c r="Y78" s="12"/>
      <c r="Z78" s="12"/>
      <c r="AA78" s="12"/>
    </row>
    <row r="79" spans="2:27" x14ac:dyDescent="0.25">
      <c r="B79" s="3" t="s">
        <v>281</v>
      </c>
      <c r="C79" s="4"/>
      <c r="D79" s="4"/>
      <c r="E79" s="4"/>
      <c r="F79" s="13"/>
      <c r="V79" s="12"/>
      <c r="W79" s="12"/>
      <c r="X79" s="12"/>
      <c r="Y79" s="12"/>
      <c r="Z79" s="12"/>
      <c r="AA79" s="12"/>
    </row>
    <row r="80" spans="2:27" x14ac:dyDescent="0.25">
      <c r="B80" s="8" t="s">
        <v>227</v>
      </c>
      <c r="C80" s="3">
        <v>2</v>
      </c>
      <c r="H80" s="3" t="s">
        <v>296</v>
      </c>
      <c r="J80" s="12"/>
      <c r="K80" s="12"/>
      <c r="L80" s="12"/>
      <c r="M80" s="12"/>
      <c r="N80" s="12"/>
      <c r="O80" s="12"/>
      <c r="P80" s="12"/>
      <c r="Q80" s="12"/>
      <c r="R80" s="12"/>
      <c r="S80" s="12"/>
      <c r="T80" s="12"/>
      <c r="U80" s="12"/>
      <c r="V80" s="12"/>
      <c r="W80" s="12"/>
      <c r="X80" s="12"/>
      <c r="Y80" s="12"/>
      <c r="Z80" s="12"/>
      <c r="AA80" s="12"/>
    </row>
    <row r="81" spans="2:27" x14ac:dyDescent="0.25">
      <c r="B81" s="3" t="s">
        <v>237</v>
      </c>
      <c r="C81" s="3">
        <v>0</v>
      </c>
      <c r="H81" s="3" t="s">
        <v>297</v>
      </c>
      <c r="I81" s="3">
        <v>1</v>
      </c>
      <c r="J81" s="14"/>
      <c r="K81" s="15"/>
      <c r="L81" s="12"/>
      <c r="M81" s="12"/>
      <c r="N81" s="12"/>
      <c r="O81" s="12"/>
      <c r="P81" s="12"/>
      <c r="Q81" s="12"/>
      <c r="R81" s="12"/>
      <c r="S81" s="12"/>
      <c r="T81" s="12"/>
      <c r="U81" s="12"/>
      <c r="V81" s="12"/>
      <c r="W81" s="12"/>
      <c r="X81" s="12"/>
      <c r="Y81" s="12"/>
      <c r="Z81" s="12"/>
      <c r="AA81" s="12"/>
    </row>
    <row r="82" spans="2:27" x14ac:dyDescent="0.25">
      <c r="B82" s="3" t="s">
        <v>229</v>
      </c>
      <c r="C82" s="108">
        <f>Français!E57/(1.16*20*0.85)/2</f>
        <v>1.1803240290393977</v>
      </c>
      <c r="H82" s="3" t="s">
        <v>298</v>
      </c>
      <c r="I82" s="3">
        <v>2.5</v>
      </c>
    </row>
    <row r="83" spans="2:27" x14ac:dyDescent="0.25">
      <c r="B83" s="3" t="s">
        <v>228</v>
      </c>
      <c r="C83" s="108">
        <f>Français!E57/(1.16*20*0.85)</f>
        <v>2.3606480580787954</v>
      </c>
      <c r="H83" s="3" t="s">
        <v>300</v>
      </c>
      <c r="I83" s="3">
        <v>1.8</v>
      </c>
    </row>
    <row r="85" spans="2:27" x14ac:dyDescent="0.25">
      <c r="B85" s="8" t="s">
        <v>333</v>
      </c>
      <c r="C85" s="3">
        <v>1</v>
      </c>
      <c r="D85" s="113" t="s">
        <v>325</v>
      </c>
    </row>
    <row r="86" spans="2:27" x14ac:dyDescent="0.25">
      <c r="B86" s="11" t="s">
        <v>383</v>
      </c>
      <c r="C86" s="3">
        <v>1.0085999999999999</v>
      </c>
      <c r="D86" s="115" t="s">
        <v>326</v>
      </c>
    </row>
    <row r="87" spans="2:27" x14ac:dyDescent="0.25">
      <c r="C87" s="3">
        <v>1</v>
      </c>
      <c r="D87" s="115" t="s">
        <v>326</v>
      </c>
    </row>
    <row r="93" spans="2:27" x14ac:dyDescent="0.25">
      <c r="B93" s="161"/>
    </row>
    <row r="94" spans="2:27" x14ac:dyDescent="0.25">
      <c r="C94" s="120"/>
      <c r="D94" s="120"/>
      <c r="E94" s="120"/>
      <c r="F94" s="120"/>
      <c r="G94" s="120"/>
    </row>
    <row r="111" spans="2:12" ht="13.8" thickBot="1" x14ac:dyDescent="0.3"/>
    <row r="112" spans="2:12" ht="27" thickBot="1" x14ac:dyDescent="0.3">
      <c r="B112" s="128" t="s">
        <v>358</v>
      </c>
      <c r="C112" s="129" t="s">
        <v>359</v>
      </c>
      <c r="D112" s="129" t="s">
        <v>360</v>
      </c>
      <c r="E112" s="129" t="s">
        <v>361</v>
      </c>
      <c r="F112" s="129" t="s">
        <v>362</v>
      </c>
      <c r="G112" s="129" t="s">
        <v>363</v>
      </c>
      <c r="H112" s="129" t="s">
        <v>364</v>
      </c>
      <c r="I112" s="129" t="s">
        <v>365</v>
      </c>
      <c r="J112" s="129" t="s">
        <v>366</v>
      </c>
      <c r="K112" s="129" t="s">
        <v>367</v>
      </c>
      <c r="L112" s="129" t="s">
        <v>368</v>
      </c>
    </row>
  </sheetData>
  <mergeCells count="6">
    <mergeCell ref="O27:P27"/>
    <mergeCell ref="M27:N27"/>
    <mergeCell ref="D27:E27"/>
    <mergeCell ref="F27:G27"/>
    <mergeCell ref="I27:J27"/>
    <mergeCell ref="K27:L27"/>
  </mergeCells>
  <phoneticPr fontId="0" type="noConversion"/>
  <pageMargins left="0.78740157499999996" right="0.78740157499999996" top="0.984251969" bottom="0.984251969" header="0.4921259845" footer="0.4921259845"/>
  <pageSetup paperSize="9" orientation="landscape"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8A91A6D8578974896D6B7222CF0E28F" ma:contentTypeVersion="12" ma:contentTypeDescription="Crée un document." ma:contentTypeScope="" ma:versionID="c7b11f7b163674e4d0195e0d78b0468d">
  <xsd:schema xmlns:xsd="http://www.w3.org/2001/XMLSchema" xmlns:xs="http://www.w3.org/2001/XMLSchema" xmlns:p="http://schemas.microsoft.com/office/2006/metadata/properties" xmlns:ns2="fee5512b-b82f-4973-b760-667107281ed5" xmlns:ns3="f49b8509-fb38-4ba6-b181-380e21ab5f25" targetNamespace="http://schemas.microsoft.com/office/2006/metadata/properties" ma:root="true" ma:fieldsID="505eff06ad1ade1611dbba4ce5bb3399" ns2:_="" ns3:_="">
    <xsd:import namespace="fee5512b-b82f-4973-b760-667107281ed5"/>
    <xsd:import namespace="f49b8509-fb38-4ba6-b181-380e21ab5f2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e5512b-b82f-4973-b760-667107281e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49b8509-fb38-4ba6-b181-380e21ab5f25"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BA3016F-CCED-4E3A-BAA4-7D72D6D57360}">
  <ds:schemaRefs>
    <ds:schemaRef ds:uri="http://purl.org/dc/terms/"/>
    <ds:schemaRef ds:uri="http://schemas.microsoft.com/office/2006/documentManagement/types"/>
    <ds:schemaRef ds:uri="http://purl.org/dc/dcmitype/"/>
    <ds:schemaRef ds:uri="fee5512b-b82f-4973-b760-667107281ed5"/>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A5601C3A-8820-4410-939B-008B84E0C79B}"/>
</file>

<file path=customXml/itemProps3.xml><?xml version="1.0" encoding="utf-8"?>
<ds:datastoreItem xmlns:ds="http://schemas.openxmlformats.org/officeDocument/2006/customXml" ds:itemID="{9B5A53B3-CC53-41C9-89A5-7F52249924A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9</vt:i4>
      </vt:variant>
    </vt:vector>
  </HeadingPairs>
  <TitlesOfParts>
    <vt:vector size="12" baseType="lpstr">
      <vt:lpstr>Français</vt:lpstr>
      <vt:lpstr>kéco - Wallonie</vt:lpstr>
      <vt:lpstr>Parametres</vt:lpstr>
      <vt:lpstr>biogaz</vt:lpstr>
      <vt:lpstr>CET</vt:lpstr>
      <vt:lpstr>fossile</vt:lpstr>
      <vt:lpstr>graisse</vt:lpstr>
      <vt:lpstr>Français!Impression_des_titres</vt:lpstr>
      <vt:lpstr>liquide</vt:lpstr>
      <vt:lpstr>solide</vt:lpstr>
      <vt:lpstr>Français!Zone_d_impression</vt:lpstr>
      <vt:lpstr>Parametres!Zone_d_impression</vt:lpstr>
    </vt:vector>
  </TitlesOfParts>
  <Manager>Facilitateur en Cogénération</Manager>
  <Company>Cogensud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COGENcalc</dc:title>
  <dc:subject>Calcul approximatif de la rentabilité d'une cogénération</dc:subject>
  <dc:creator>Ismaël Daoud</dc:creator>
  <cp:lastModifiedBy>Annick Lempereur</cp:lastModifiedBy>
  <cp:lastPrinted>2008-06-24T16:32:29Z</cp:lastPrinted>
  <dcterms:created xsi:type="dcterms:W3CDTF">1999-07-22T10:12:47Z</dcterms:created>
  <dcterms:modified xsi:type="dcterms:W3CDTF">2020-09-21T12:38:40Z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0x01010058A91A6D8578974896D6B7222CF0E28F</vt:lpwstr>
  </property>
</Properties>
</file>